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DECKBLATT" sheetId="1" state="visible" r:id="rId3"/>
    <sheet name="LESEHILFE" sheetId="2" state="visible" r:id="rId4"/>
    <sheet name="JAHRE" sheetId="3" state="visible" r:id="rId5"/>
    <sheet name="GuV" sheetId="4" state="visible" r:id="rId6"/>
    <sheet name="UMSATZBRÜCKE" sheetId="5" state="visible" r:id="rId7"/>
    <sheet name="MENGENGERÜST" sheetId="6" state="visible" r:id="rId8"/>
    <sheet name="KONDITIONEN" sheetId="7" state="visible" r:id="rId9"/>
    <sheet name="CASH" sheetId="8" state="visible" r:id="rId10"/>
    <sheet name="KPI" sheetId="9" state="visible" r:id="rId11"/>
    <sheet name="MARKETING" sheetId="10" state="visible" r:id="rId12"/>
    <sheet name="PERSONAL" sheetId="11" state="visible" r:id="rId13"/>
    <sheet name="MODELL" sheetId="12" state="visible" r:id="rId14"/>
    <sheet name="INPUT" sheetId="13" state="visible" r:id="rId15"/>
  </sheets>
  <definedNames>
    <definedName function="false" hidden="false" localSheetId="6" name="_xlnm.Print_Area" vbProcedure="false">KONDITIONEN!$A$1:$J$77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<sst xmlns="http://schemas.openxmlformats.org/spreadsheetml/2006/main" count="790" uniqueCount="543">
  <si>
    <t xml:space="preserve">CORTHEA Nutrition GmbH</t>
  </si>
  <si>
    <t xml:space="preserve">Finanzplan 2027 bis 2031 · lebendes Modell v2.2.6</t>
  </si>
  <si>
    <t xml:space="preserve">Aktives Szenario</t>
  </si>
  <si>
    <t xml:space="preserve">Szenario umschalten in INPUT!B5 (1=Basis, 2=Ziel, 3=Stress). Alle Blätter rechnen live.</t>
  </si>
  <si>
    <t xml:space="preserve">Fünf-Jahres-Bild (aktives Szenario)</t>
  </si>
  <si>
    <t xml:space="preserve">Jahr 1 (2027)</t>
  </si>
  <si>
    <t xml:space="preserve">Jahr 2 (2028)</t>
  </si>
  <si>
    <t xml:space="preserve">Jahr 3 (2029)</t>
  </si>
  <si>
    <t xml:space="preserve">Jahr 4 (2030)</t>
  </si>
  <si>
    <t xml:space="preserve">Jahr 5 (2031)</t>
  </si>
  <si>
    <t xml:space="preserve">Nettoumsatz</t>
  </si>
  <si>
    <t xml:space="preserve">Ertragskraft (EBITDA vor Programm)</t>
  </si>
  <si>
    <t xml:space="preserve">Ertragskraft-Marge</t>
  </si>
  <si>
    <t xml:space="preserve">Wachstumsprogramm (Deployment + Reinvest)</t>
  </si>
  <si>
    <t xml:space="preserve">Operatives Ergebnis</t>
  </si>
  <si>
    <t xml:space="preserve">Cash-Bestand Jahresende</t>
  </si>
  <si>
    <t xml:space="preserve">Cash-Tiefpunkt im Jahr</t>
  </si>
  <si>
    <t xml:space="preserve">Aufbau des Modells (so ist jede Zahl nachvollziehbar)</t>
  </si>
  <si>
    <t xml:space="preserve">1. INPUT: alle Annahmen als Eingabefelder, inklusive Szenario-Schalter (B5) und Vorkasse-Regler (B67).</t>
  </si>
  <si>
    <t xml:space="preserve">2. MODELL: 60 Monatsspalten, jede Zeile beschriftet, jede Formel als Zell-mal-Zell sichtbar. Der Szenario-Lookup sitzt nur im Treiber-Band oben.</t>
  </si>
  <si>
    <t xml:space="preserve">3. GuV / CASH: Jahreswerte summieren die sichtbaren Monatszeilen aus MODELL. Klick auf eine Summe zeigt die 12 Monatszellen.</t>
  </si>
  <si>
    <t xml:space="preserve">4. JAHRE / KPI / MARKETING / PERSONAL: verdichten GuV, CASH und MODELL zur Übersicht.</t>
  </si>
  <si>
    <t xml:space="preserve">5. LESEHILFE / UMSATZBRÜCKE / MENGENGERÜST / KONDITIONEN: Begriffe und zwei Grafiken, nachrichtliche Herleitung vom Endkundenumsatz über die Partnermarge zum CORTHEA-Umsatz, Mengengerüst je Kanal, Partnerkonditionen je Stufe. Keine neuen Annahmen, alles auf MODELL und INPUT verlinkt. KONDITIONEN Block 6 benennt die konstante Wareneinsatz-Annahme (40 EUR) und zeigt die Sensitivität bis 20 EUR je Box.</t>
  </si>
  <si>
    <t xml:space="preserve">Doktrin</t>
  </si>
  <si>
    <t xml:space="preserve">Ertragskraft ist der operative Überschuss vor jeder Wachstumsinvestition.</t>
  </si>
  <si>
    <t xml:space="preserve">Wachstumsprogramm = Deployment aus Kapital plus mindestens 75 Prozent der Ertragskraft.</t>
  </si>
  <si>
    <t xml:space="preserve">Operatives Ergebnis = Ertragskraft minus Wachstumsprogramm; bewusst nahe Null, weil reinvestiert wird.</t>
  </si>
  <si>
    <t xml:space="preserve">Im Modell hinterlegt: 1,0 Mio EUR Wachstumskapital, davon 700 Tsd EUR Deployment über die ersten 12 Monate.</t>
  </si>
  <si>
    <t xml:space="preserve">Lesehilfe · die Begriffe dieses Finanzplans in einer Minute</t>
  </si>
  <si>
    <t xml:space="preserve">Zwei Umsatzbegriffe, drei Preise je Box, ein Programm. Wer diese Zeilen kennt, liest jedes Blatt richtig. Zahlen aus Jahr 2 (2028), Basis-Szenario.</t>
  </si>
  <si>
    <t xml:space="preserve">Begriff</t>
  </si>
  <si>
    <t xml:space="preserve">Bedeutung</t>
  </si>
  <si>
    <t xml:space="preserve">Endkundenpreis</t>
  </si>
  <si>
    <t xml:space="preserve">Was der Kunde für eine Box zahlt: 149,00 EUR brutto, 135,45 EUR netto. Bezugsgrösse aller Konditionen.</t>
  </si>
  <si>
    <t xml:space="preserve">Endkundenumsatz (Aussenumsatz)</t>
  </si>
  <si>
    <t xml:space="preserve">Alle verkauften Boxen × Endkundenpreis, egal ob CORTHEA, ein Hotel oder eine Apotheke verkauft hat. Zeigt die Grösse der Marke am Markt. Steht in keiner GuV.</t>
  </si>
  <si>
    <t xml:space="preserve">CORTHEA-Umsatz (Innenumsatz, Nettoumsatz der GuV)</t>
  </si>
  <si>
    <t xml:space="preserve">Was CORTHEA selbst in Rechnung stellt. Im Webshop der Endkundenpreis. Beim Verkauf an Hotels und Apotheken deren Einkaufspreis. Nur diese Zahl steht in der GuV.</t>
  </si>
  <si>
    <t xml:space="preserve">Einkaufspreis Partner (Verkauf an Partner)</t>
  </si>
  <si>
    <t xml:space="preserve">Der Preis, zu dem Hotel oder Apotheke die Box von CORTHEA kauft: Endkundenpreis minus Staffelabschlag. 88,05 EUR (35 %), 81,27 EUR (40 %), 67,73 EUR (50 %). Das ist der CORTHEA-Umsatz je Box im Partnergeschäft.</t>
  </si>
  <si>
    <t xml:space="preserve">Partnermarge</t>
  </si>
  <si>
    <t xml:space="preserve">Endkundenpreis minus Einkaufspreis. Bleibt beim Partner, erscheint nirgends als CORTHEA-Umsatz. Jahr 2: 1,15 Mio EUR auf 2,97 Mio EUR Partner-Endkundenumsatz, also 40 Prozent der Boxen, die Partner einkaufen.</t>
  </si>
  <si>
    <t xml:space="preserve">Startphase (Kommission)</t>
  </si>
  <si>
    <t xml:space="preserve">Die ersten drei Monate eines neuen Partners, danach nie wieder. CORTHEA verkauft selbst, die Ware bleibt bis zum Verkauf Eigentum von CORTHEA, der Partner vermittelt und erhält 30 Prozent Provision. Umsatz zum Endkundenpreis, Provision als Aufwand. Partner haftet für Schwund mit 50 Prozent des Verkaufspreises.</t>
  </si>
  <si>
    <t xml:space="preserve">Webshop-Provision</t>
  </si>
  <si>
    <t xml:space="preserve">Kauft ein vor Ort gewonnener Kunde später im Webshop, erhält der Partner lebenslang 10 Prozent auf jeden Kauf. Rund 53 EUR je gewonnenem Abonnenten zusätzlich zur Handelsmarge.</t>
  </si>
  <si>
    <t xml:space="preserve">Ertragskraft</t>
  </si>
  <si>
    <t xml:space="preserve">EBITDA vor dem Wachstumsprogramm. Das, was das Geschäft operativ verdient, bevor bewusst reinvestiert wird. Jahr 2: 1,23 Mio EUR, 28,7 Prozent vom CORTHEA-Umsatz.</t>
  </si>
  <si>
    <t xml:space="preserve">Wachstumsprogramm</t>
  </si>
  <si>
    <t xml:space="preserve">Die bewusste Reinvestition. Jahr 1: 700.000 EUR aus dem Wachstumskapital von 1,0 Mio EUR. Jedes Jahr zusätzlich mindestens 75 Prozent der Ertragskraft, in vier Felder: Wissenschaft und Studien, Internationalisierung, neue Produktkategorien, Gebietspartner. Jährlich im Gesellschafterkreis beschlossen, nachrangig zu Betriebskapital und Liquiditätsreserve. Über fünf Jahre rund 11,5 Mio EUR aus eigener Kraft.</t>
  </si>
  <si>
    <t xml:space="preserve">Ertragskraft minus Wachstumsprogramm. Liegt bewusst nahe null, weil das verdiente Geld ins Wachstum fliesst. Ein kleines operatives Ergebnis heisst hier: das Geschäft verdient, und investiert es.</t>
  </si>
  <si>
    <t xml:space="preserve">Szenario</t>
  </si>
  <si>
    <t xml:space="preserve">Basis = ausgewiesener Plan mit gemessener Monat-1-Retention von 35 Prozent. Ziel = deklariertes Upside. Stress = Überlebensnachweis auf derselben Million. Umschalten in INPUT!B5, alle Blätter rechnen mit.</t>
  </si>
  <si>
    <t xml:space="preserve">Wareneinsatz je Box</t>
  </si>
  <si>
    <t xml:space="preserve">40,00 EUR in allen fünf Jahren (INPUT B19), heutiger Preis im Jahresliefervertrag ab 5.000 Boxen. Der Hersteller stellt ab 10.000 Boxen im Jahr 25,00 EUR in Aussicht, für die Serienfertigung ist nach aktuellem Stand ein Preis unter 20,00 EUR denkbar (abhängig von Rohstoffpreisen). Bewusst nicht eingerechnet, bleibt als Potential offen: bei 25,00 EUR läge die Ertragskraft in Jahr 3 bei 3,6 statt 2,3 Mio EUR. Herleitung in KONDITIONEN, Block 6.</t>
  </si>
  <si>
    <t xml:space="preserve">Grafik 1 · Eine Box, drei Preise (Jahr 2)</t>
  </si>
  <si>
    <t xml:space="preserve">Grafik 2 · Umsatzbrücke Jahr 2: Endkundenumsatz und CORTHEA-Umsatz je Kanal</t>
  </si>
  <si>
    <t xml:space="preserve">Grafiken aus tools/make_finanzplan_grafiken.py, Werte aus den Blättern UMSATZBRÜCKE und INPUT. Bei Modelländerung neu erzeugen.</t>
  </si>
  <si>
    <t xml:space="preserve">Jahresübersicht (verweist auf GuV und CASH)</t>
  </si>
  <si>
    <t xml:space="preserve">Wachstum ggü. Vorjahr</t>
  </si>
  <si>
    <t xml:space="preserve">    davon Deployment (Kapital)</t>
  </si>
  <si>
    <t xml:space="preserve">    davon Reinvestition (Ertragskraft)</t>
  </si>
  <si>
    <t xml:space="preserve">Ergebnis-Marge</t>
  </si>
  <si>
    <t xml:space="preserve">Liquiditäts-Floor (Minimum)</t>
  </si>
  <si>
    <t xml:space="preserve">Gewinn- und Verlustrechnung (aktives Szenario)</t>
  </si>
  <si>
    <t xml:space="preserve">Jahreswerte = Summe der Monatszeilen aus MODELL. Summen unten addieren die sichtbaren Zeilen darüber.</t>
  </si>
  <si>
    <t xml:space="preserve">D2C-Umsatz</t>
  </si>
  <si>
    <t xml:space="preserve">Vor-Ort-Umsatz (Hotels, Erlebnis) · Verkauf an Partner und Kommission, Aufteilung Zeilen 28 und 29</t>
  </si>
  <si>
    <t xml:space="preserve">Apotheken-Umsatz · Verkauf an Apotheken zum Einkaufspreis</t>
  </si>
  <si>
    <t xml:space="preserve">Partner-Umsatz (Webshop) · Endkundenpreis, CORTHEA verkauft direkt</t>
  </si>
  <si>
    <t xml:space="preserve">Wareneinsatz</t>
  </si>
  <si>
    <t xml:space="preserve">D2C-Fulfillment</t>
  </si>
  <si>
    <t xml:space="preserve">B2B-Logistik</t>
  </si>
  <si>
    <t xml:space="preserve">Provisionen an Partner · Kommission 30 % und Webshop 10 %, Aufteilung Zeilen 30 und 31</t>
  </si>
  <si>
    <t xml:space="preserve">Agenten-Vergütung an Vermittler</t>
  </si>
  <si>
    <t xml:space="preserve">Personal</t>
  </si>
  <si>
    <t xml:space="preserve">Performance-Marketing</t>
  </si>
  <si>
    <t xml:space="preserve">Gemeinkosten</t>
  </si>
  <si>
    <t xml:space="preserve">Technik</t>
  </si>
  <si>
    <t xml:space="preserve">Gründerhonorar</t>
  </si>
  <si>
    <t xml:space="preserve">Nachrichtlich · Zusammensetzung von Umsatz und Vergütung (Herleitung: Blatt UMSATZBRÜCKE)</t>
  </si>
  <si>
    <t xml:space="preserve">Vor-Ort-Umsatz, davon Verkauf an Partner zum Einkaufspreis (MODELL Zeile 36)</t>
  </si>
  <si>
    <t xml:space="preserve">Vor-Ort-Umsatz, davon Kommission zum Endkundenpreis, CORTHEA Verkäufer (MODELL Zeile 35)</t>
  </si>
  <si>
    <t xml:space="preserve">Provisionen, davon Kommissionsphase 30 % auf Zeile 29</t>
  </si>
  <si>
    <t xml:space="preserve">Provisionen, davon Webshop 10 % auf Zeile 7</t>
  </si>
  <si>
    <t xml:space="preserve">Partnermarge im Einkaufsweg, bleibt beim Partner, kein CORTHEA-Umsatz (UMSATZBRÜCKE)</t>
  </si>
  <si>
    <t xml:space="preserve">Endkundenumsatz gesamt, alle Kanäle (UMSATZBRÜCKE)</t>
  </si>
  <si>
    <t xml:space="preserve">CORTHEA-Umsatz je Euro Endkundenumsatz (Innenumsatz-Quote)</t>
  </si>
  <si>
    <t xml:space="preserve">Umsatzbrücke · vom Endkundenpreis zum CORTHEA-Nettoumsatz</t>
  </si>
  <si>
    <t xml:space="preserve">Nachrichtliche Herleitung ohne neue Annahmen, aktives Szenario. Alle Werte verlinkt auf MODELL, INPUT und GuV. Endkundenumsatz (Aussenumsatz) = was alle Kunden am Verkaufsort netto zahlen, egal wer verkauft. CORTHEA-Umsatz (Innenumsatz, Nettoumsatz der GuV) = was CORTHEA in Rechnung stellt. Partnermarge = Differenz, sie bleibt beim Partner und erscheint nirgends als CORTHEA-Umsatz.</t>
  </si>
  <si>
    <t xml:space="preserve">Gesamt 5 Jahre</t>
  </si>
  <si>
    <t xml:space="preserve">A · Vor-Ort-Verkauf über Hotels und Erlebnis-Partner</t>
  </si>
  <si>
    <t xml:space="preserve">Vollboxen am Verkaufsort verkauft (Stück)</t>
  </si>
  <si>
    <t xml:space="preserve">Minis am Verkaufsort verkauft (Stück)</t>
  </si>
  <si>
    <t xml:space="preserve">Endkundenumsatz am Verkaufsort, netto (Endkundenpreis)</t>
  </si>
  <si>
    <t xml:space="preserve">· davon Kommissionsphase (CORTHEA Verkäufer, Partner vermittelt; Anteil INPUT Z36/37)</t>
  </si>
  <si>
    <t xml:space="preserve">· davon Einkaufsweg: Partner kauft die Ware zur Kondition</t>
  </si>
  <si>
    <t xml:space="preserve">Partnermarge im Einkaufsweg (bleibt beim Partner, kein CORTHEA-Umsatz)</t>
  </si>
  <si>
    <t xml:space="preserve">· Partnermarge in Prozent des Einkaufsweg-Endkundenumsatzes</t>
  </si>
  <si>
    <t xml:space="preserve">CORTHEA-Umsatz aus Verkauf an Partner zum Einkaufspreis (MODELL Z36)</t>
  </si>
  <si>
    <t xml:space="preserve">CORTHEA-Umsatz Startphase, Kommission zum Endkundenpreis (MODELL Z35)</t>
  </si>
  <si>
    <t xml:space="preserve">Vor-Ort-Umsatz in der GuV (Zeile 5) = Verkauf an Partner + Kommission</t>
  </si>
  <si>
    <t xml:space="preserve">· Kontrolle: Abweichung zur GuV Zeile 5 (muss 0 sein)</t>
  </si>
  <si>
    <t xml:space="preserve">Provision an Partner, Kommissionsphase 30 % (in GuV Zeile 13 enthalten)</t>
  </si>
  <si>
    <t xml:space="preserve">Partnervergütung Vor-Ort gesamt (Partnermarge + Provision)</t>
  </si>
  <si>
    <t xml:space="preserve">· in Prozent des Endkundenumsatzes Vor-Ort</t>
  </si>
  <si>
    <t xml:space="preserve">B · Apotheken (Einkaufsweg ab Tag eins)</t>
  </si>
  <si>
    <t xml:space="preserve">Boxen über Apotheken verkauft (Stück)</t>
  </si>
  <si>
    <t xml:space="preserve">Endkundenumsatz Apotheke, netto (Endkundenpreis)</t>
  </si>
  <si>
    <t xml:space="preserve">Partnermarge Apotheke (bleibt bei der Apotheke, kein CORTHEA-Umsatz)</t>
  </si>
  <si>
    <t xml:space="preserve">· Partnermarge in Prozent des Endkundenumsatzes</t>
  </si>
  <si>
    <t xml:space="preserve">CORTHEA-Umsatz aus Verkauf an Apotheken zum Einkaufspreis (GuV Zeile 6)</t>
  </si>
  <si>
    <t xml:space="preserve">· Kontrolle: Abweichung zur GuV Zeile 6 (muss 0 sein)</t>
  </si>
  <si>
    <t xml:space="preserve">C · Partner-Webshop: partner-stämmige Abonnenten, CORTHEA verkauft direkt</t>
  </si>
  <si>
    <t xml:space="preserve">Boxen an partner-stämmige Abonnenten (Stück)</t>
  </si>
  <si>
    <t xml:space="preserve">CORTHEA Umsatz zum Endkundenpreis (GuV Zeile 7)</t>
  </si>
  <si>
    <t xml:space="preserve">Provision an Partner, 10 % lebenslang (in GuV Zeile 13 enthalten)</t>
  </si>
  <si>
    <t xml:space="preserve">D · D2C direkt, ohne Partner</t>
  </si>
  <si>
    <t xml:space="preserve">Boxen D2C (Erstbox und Bestand, Stück)</t>
  </si>
  <si>
    <t xml:space="preserve">CORTHEA D2C-Umsatz (GuV Zeile 4)</t>
  </si>
  <si>
    <t xml:space="preserve">E · Zusammenführung: Endkundenumsatz, Partnervergütung, CORTHEA-Umsatz</t>
  </si>
  <si>
    <t xml:space="preserve">Endkundenumsatz gesamt, netto (alle Kanäle zum Endkundenpreis)</t>
  </si>
  <si>
    <t xml:space="preserve">abzüglich Partnermarge im Einkaufsweg (Vor-Ort und Apotheke)</t>
  </si>
  <si>
    <t xml:space="preserve">CORTHEA-Umsatz = Nettoumsatz der GuV (Zeile 8) = Endkundenumsatz abzüglich Partnermarge</t>
  </si>
  <si>
    <t xml:space="preserve">· Kontrolle: Abweichung zur GuV Zeile 8 (muss 0 sein)</t>
  </si>
  <si>
    <t xml:space="preserve">Innenumsatz-Quote: CORTHEA-Umsatz je Euro Endkundenumsatz</t>
  </si>
  <si>
    <t xml:space="preserve">Provisionen an Partner (Kommission 30 % und Webshop 10 %, GuV Zeile 13)</t>
  </si>
  <si>
    <t xml:space="preserve">· Kontrolle: Abweichung zur GuV Zeile 13 (muss 0 sein)</t>
  </si>
  <si>
    <t xml:space="preserve">Agenten-Vergütung an Vermittler (GuV Zeile 14)</t>
  </si>
  <si>
    <t xml:space="preserve">Partnervergütung gesamt (Partnermarge + Provisionen + Agenten)</t>
  </si>
  <si>
    <t xml:space="preserve">· in Prozent des Endkundenumsatzes gesamt</t>
  </si>
  <si>
    <t xml:space="preserve">Wareneinsatz (GuV Zeile 10)</t>
  </si>
  <si>
    <t xml:space="preserve">Rohertrag nach Wareneinsatz, Provisionen und Agenten</t>
  </si>
  <si>
    <t xml:space="preserve">· in Prozent des CORTHEA-Nettoumsatzes</t>
  </si>
  <si>
    <t xml:space="preserve">F · Je Vollbox im Einkaufsweg (aktive Kondition des Jahres, INPUT Zeile 44)</t>
  </si>
  <si>
    <t xml:space="preserve">Endkundenpreis netto</t>
  </si>
  <si>
    <t xml:space="preserve">Partnerabschlag (Kondition)</t>
  </si>
  <si>
    <t xml:space="preserve">Einkaufspreis Partner = CORTHEA fakturiert je Box</t>
  </si>
  <si>
    <t xml:space="preserve">Partner verdient je Box (Handelsmarge)</t>
  </si>
  <si>
    <t xml:space="preserve">Wareneinsatz je Box (INPUT Zeile 19)</t>
  </si>
  <si>
    <t xml:space="preserve">B2B-Sammellogistik je Box (INPUT Zeile 22)</t>
  </si>
  <si>
    <t xml:space="preserve">CORTHEA Deckungsbeitrag je Box im Einkaufsweg (vor Agenten)</t>
  </si>
  <si>
    <t xml:space="preserve">· in Prozent des Einkaufspreises</t>
  </si>
  <si>
    <t xml:space="preserve">Lesehilfe. Der Nettoumsatz der GuV enthält ausschliesslich Beträge, die CORTHEA fakturiert. Bei Partnern im Einkaufsweg ist das der Einkaufspreis des Partners (Block F), der Endkundenumsatz des Partners erscheint nirgends als CORTHEA-Umsatz. Einzige Ausnahme ist die Startphase: die ersten drei Monate nach Aufnahme eines neuen Partners, danach nie wieder. Dort verkauft CORTHEA auf Kommission, der Partner vermittelt, die Ware bleibt bis zum Verkauf Eigentum von CORTHEA, der Partner haftet für Schwund und Beschädigung mit 50 Prozent des Verkaufspreises. Umsatz zum Endkundenpreis, 30 Prozent Provision als Aufwand. Im Modell ist die Startphase als Anteil am Vor-Ort-Volumen abgebildet: 15 Prozent in Jahr 1, 5 Prozent ab Jahr 2 (INPUT Zeilen 36 und 37).</t>
  </si>
  <si>
    <t xml:space="preserve">Staffel im Modell. Die Einkaufskondition wird zeitbasiert angewendet: Jahr 1 35 Prozent, Jahr 2 40 Prozent, ab Jahr 3 50 Prozent für alle Partner unabhängig vom Einzelvolumen. Ab Jahr 3 erhält damit jeder Partner die höchste Stufe. Für den CORTHEA-Umsatz ist das die vorsichtige Annahme.</t>
  </si>
  <si>
    <t xml:space="preserve">Mengengerüst · Türen, Produktivität je Tür, Boxen je Kanal</t>
  </si>
  <si>
    <t xml:space="preserve">Aktives Szenario. Türen und Produktivität aus INPUT, Volumen aus MODELL. Jahreswerte in Stück. Das Modell ist ein Typ-Modell: Hotels, Erlebnis-Partner und Apotheken mit Durchschnittsvolumen je Tür, interpoliert zwischen Jahresend-Zielen, Anlauf neuer Partner über die Partner-Rampe.</t>
  </si>
  <si>
    <t xml:space="preserve">Türen zum Jahresende (INPUT Zeilen 31 bis 33)</t>
  </si>
  <si>
    <t xml:space="preserve">Hotels</t>
  </si>
  <si>
    <t xml:space="preserve">Erlebnis-Partner</t>
  </si>
  <si>
    <t xml:space="preserve">Apotheken</t>
  </si>
  <si>
    <t xml:space="preserve">Türen gesamt</t>
  </si>
  <si>
    <t xml:space="preserve">Türen im Jahresdurchschnitt aktiv (MODELL, linear interpoliert)</t>
  </si>
  <si>
    <t xml:space="preserve">Hotels aktiv, Durchschnitt</t>
  </si>
  <si>
    <t xml:space="preserve">Erlebnis-Partner aktiv, Durchschnitt</t>
  </si>
  <si>
    <t xml:space="preserve">Apotheken aktiv, Durchschnitt</t>
  </si>
  <si>
    <t xml:space="preserve">Produktivität je Tür und Monat (aktives Szenario, INPUT Szenario-Treiber)</t>
  </si>
  <si>
    <t xml:space="preserve">Vollboxen je Hotel und Monat</t>
  </si>
  <si>
    <t xml:space="preserve">Minis je Hotel und Monat</t>
  </si>
  <si>
    <t xml:space="preserve">Vollboxen je Erlebnis-Partner und Monat</t>
  </si>
  <si>
    <t xml:space="preserve">Minis je Erlebnis-Partner und Monat</t>
  </si>
  <si>
    <t xml:space="preserve">Boxen je Apotheke und Monat</t>
  </si>
  <si>
    <t xml:space="preserve">Partner-Rampe (Faktor auf die Produktivität)</t>
  </si>
  <si>
    <t xml:space="preserve">Conversion Mini zu Webshop-Abo</t>
  </si>
  <si>
    <t xml:space="preserve">Volumen je Kanal (Stück je Jahr, MODELL)</t>
  </si>
  <si>
    <t xml:space="preserve">D2C direkt: Boxen (Erstbox und Bestand)</t>
  </si>
  <si>
    <t xml:space="preserve">Vor-Ort: Vollboxen (Hotels, Erlebnis-Partner)</t>
  </si>
  <si>
    <t xml:space="preserve">Vor-Ort: Minis (Probierkäufe)</t>
  </si>
  <si>
    <t xml:space="preserve">Apotheken: Boxen</t>
  </si>
  <si>
    <t xml:space="preserve">Partner-Webshop: Boxen an partner-stämmige Abonnenten</t>
  </si>
  <si>
    <t xml:space="preserve">Vollboxen gesamt (ohne Minis, MODELL Zeile 49)</t>
  </si>
  <si>
    <t xml:space="preserve">· Kontrolle: Summe der Kanäle minus Zeile 49 (muss 0 sein)</t>
  </si>
  <si>
    <t xml:space="preserve">· Anteil D2C direkt</t>
  </si>
  <si>
    <t xml:space="preserve">· Anteil Verkauf an Partner (Vor-Ort und Apotheke)</t>
  </si>
  <si>
    <t xml:space="preserve">· Anteil Partner-Webshop</t>
  </si>
  <si>
    <t xml:space="preserve">Kunden und Abonnenten</t>
  </si>
  <si>
    <t xml:space="preserve">Neukunden D2C im Jahr</t>
  </si>
  <si>
    <t xml:space="preserve">Abonnenten Jahresende (Monats- und Jahres-Abo, ohne Partner)</t>
  </si>
  <si>
    <t xml:space="preserve">Partner-stämmige Abonnenten Jahresende</t>
  </si>
  <si>
    <t xml:space="preserve">Beschaffung</t>
  </si>
  <si>
    <t xml:space="preserve">Wareneinsatz je Box (EUR)</t>
  </si>
  <si>
    <t xml:space="preserve">Mindestbestellmenge je Charge (Boxen)</t>
  </si>
  <si>
    <t xml:space="preserve">Boxen bestellt im Jahr (Chargen, MODELL Zeile 77)</t>
  </si>
  <si>
    <t xml:space="preserve">Lagerbestand Jahresende (Boxen)</t>
  </si>
  <si>
    <t xml:space="preserve">Partnerkonditionen · Staffel, Vergütungsströme, Anwendung im Modell</t>
  </si>
  <si>
    <t xml:space="preserve">Alle Prozentsätze und Preise sind auf INPUT verlinkt. Staffelschwellen laut Businessplan, Kapitel Vertriebsmodell. Das Blatt zeigt je Stufe, was der Partner bezahlt, was er je Box verdient und was CORTHEA nach Wareneinsatz und Logistik behält.</t>
  </si>
  <si>
    <t xml:space="preserve">1 · Preisbasis</t>
  </si>
  <si>
    <t xml:space="preserve">Wert</t>
  </si>
  <si>
    <t xml:space="preserve">Einheit</t>
  </si>
  <si>
    <t xml:space="preserve">Bruttopreis Box (Endkunde)</t>
  </si>
  <si>
    <t xml:space="preserve">EUR</t>
  </si>
  <si>
    <t xml:space="preserve">Umsatzsteuer</t>
  </si>
  <si>
    <t xml:space="preserve">Nettopreis Box (Endkundenpreis netto, Bezugsgrösse aller Konditionen)</t>
  </si>
  <si>
    <t xml:space="preserve">Mini brutto / netto</t>
  </si>
  <si>
    <t xml:space="preserve">B2B-Sammellogistik je Box</t>
  </si>
  <si>
    <t xml:space="preserve">2 · Staffel im Einkaufsweg, je Vollbox (Schwellen laut Businessplan, Sätze aus INPUT)</t>
  </si>
  <si>
    <t xml:space="preserve">Stufe</t>
  </si>
  <si>
    <t xml:space="preserve">Schwelle (Boxen)</t>
  </si>
  <si>
    <t xml:space="preserve">Partner-abschlag</t>
  </si>
  <si>
    <t xml:space="preserve">Partner kauft zu</t>
  </si>
  <si>
    <t xml:space="preserve">Partner verdient je Box</t>
  </si>
  <si>
    <t xml:space="preserve">CORTHEA fakturiert</t>
  </si>
  <si>
    <t xml:space="preserve">Waren-einsatz</t>
  </si>
  <si>
    <t xml:space="preserve">Logistik</t>
  </si>
  <si>
    <t xml:space="preserve">CORTHEA DB je Box</t>
  </si>
  <si>
    <t xml:space="preserve">DB in % vom Einkaufspreis</t>
  </si>
  <si>
    <t xml:space="preserve">Startphase: Kommission, CORTHEA verkauft, Partner vermittelt (3 Monate je Partner)</t>
  </si>
  <si>
    <t xml:space="preserve">keine</t>
  </si>
  <si>
    <t xml:space="preserve">kein Einkauf</t>
  </si>
  <si>
    <t xml:space="preserve">Stufe 1 · Einkaufsweg</t>
  </si>
  <si>
    <t xml:space="preserve">Stufe 2 · Einkaufsweg</t>
  </si>
  <si>
    <t xml:space="preserve">Stufe 3 · Einkaufsweg</t>
  </si>
  <si>
    <t xml:space="preserve">Schwellen (Spalte B, Eingabe) laut Businessplan: ab 50 Boxen 35 Prozent, ab 250 Boxen 40 Prozent, ab 1.000 Boxen 50 Prozent Abschlag vom Nettopreis. Die Startphase gilt nur für die ersten drei Monate nach Aufnahme eines neuen Partners, danach nie wieder. In dieser Zeit kauft der Partner keine Ware, sie bleibt bis zum Verkauf Eigentum von CORTHEA, der Partner erhält 30 Prozent Provision auf den Nettoumsatz und haftet für Schwund und Beschädigung mit 50 Prozent des Verkaufspreises. Danach wechselt er in den Einkaufsweg und verdient je Box mehr als in der Startphase.</t>
  </si>
  <si>
    <t xml:space="preserve">3 · Anwendung im Modell je Jahr (INPUT Zeile 44, zeitbasiert für alle Partner)</t>
  </si>
  <si>
    <t xml:space="preserve">Partnerabschlag aktiv</t>
  </si>
  <si>
    <t xml:space="preserve">CORTHEA Deckungsbeitrag je Box nach Wareneinsatz und Logistik</t>
  </si>
  <si>
    <t xml:space="preserve">Das Modell wendet die Staffel nach Jahren an: Jahr 1 Stufe 1, Jahr 2 Stufe 2, ab Jahr 3 Stufe 3 für jeden Partner, unabhängig vom Einzelvolumen. Für den CORTHEA-Umsatz ist das die vorsichtige Annahme, weil ab Jahr 3 jeder Partner die höchste Stufe erhält.</t>
  </si>
  <si>
    <t xml:space="preserve">4 · Weitere Vergütungsströme an Partner und Vermittler</t>
  </si>
  <si>
    <t xml:space="preserve">Quelle</t>
  </si>
  <si>
    <t xml:space="preserve">Provision in der Kommissionsphase (auf Nettoumsatz), nur erste 3 Monate je neuem Partner</t>
  </si>
  <si>
    <t xml:space="preserve">INPUT Z40</t>
  </si>
  <si>
    <t xml:space="preserve">Haftung des Partners für Schwund und Beschädigung in der Kommissionsphase (vom Verkaufspreis)</t>
  </si>
  <si>
    <t xml:space="preserve">Partnervertrag</t>
  </si>
  <si>
    <t xml:space="preserve">Anteil Startphase am Vor-Ort-Volumen, Jahr 1</t>
  </si>
  <si>
    <t xml:space="preserve">INPUT Z36</t>
  </si>
  <si>
    <t xml:space="preserve">Anteil Startphase am Vor-Ort-Volumen, ab Jahr 2</t>
  </si>
  <si>
    <t xml:space="preserve">INPUT Z37</t>
  </si>
  <si>
    <t xml:space="preserve">Provision Webshop auf jeden späteren Kauf des partner-stämmigen Kunden, lebenslang</t>
  </si>
  <si>
    <t xml:space="preserve">INPUT Z41</t>
  </si>
  <si>
    <t xml:space="preserve">Durchschnittliche Boxen je Kunde über die Lebensdauer (KPI, Basis)</t>
  </si>
  <si>
    <t xml:space="preserve">Boxen</t>
  </si>
  <si>
    <t xml:space="preserve">KPI Z8</t>
  </si>
  <si>
    <t xml:space="preserve">Vergütung je gewonnenem Webshop-Kunden (Netto × 10 % × Boxen je Kunde)</t>
  </si>
  <si>
    <t xml:space="preserve">Rechnung</t>
  </si>
  <si>
    <t xml:space="preserve">Conversion Mini zu Webshop-Abo (Basis, Jahr 1)</t>
  </si>
  <si>
    <t xml:space="preserve">INPUT Z114</t>
  </si>
  <si>
    <t xml:space="preserve">Erwartete Webshop-Vergütung je verkauftem Mini</t>
  </si>
  <si>
    <t xml:space="preserve">Anteil der B2B-Partner, die über Vermittler (Agenten) kommen</t>
  </si>
  <si>
    <t xml:space="preserve">INPUT Z42</t>
  </si>
  <si>
    <t xml:space="preserve">Agentenprovision auf den CORTHEA-Zufluss</t>
  </si>
  <si>
    <t xml:space="preserve">INPUT Z43</t>
  </si>
  <si>
    <t xml:space="preserve">Die Handelsmarge je Box ist nur ein Teil der Partnervergütung. Dazu kommt die lebenslange Webshop-Provision auf alle Folgekäufe der vor Ort gewonnenen Kunden. Die Gesamtvergütung je Partner steht in der UMSATZBRÜCKE, Block A und E.</t>
  </si>
  <si>
    <t xml:space="preserve">5 · Plan-Partner je Typ (INPUT, Basis-Szenario)</t>
  </si>
  <si>
    <t xml:space="preserve">Typ</t>
  </si>
  <si>
    <t xml:space="preserve">Ende 2026</t>
  </si>
  <si>
    <t xml:space="preserve">Ende J1</t>
  </si>
  <si>
    <t xml:space="preserve">Ende J2</t>
  </si>
  <si>
    <t xml:space="preserve">Ende J3</t>
  </si>
  <si>
    <t xml:space="preserve">Ende J4</t>
  </si>
  <si>
    <t xml:space="preserve">Ende J5</t>
  </si>
  <si>
    <t xml:space="preserve">Vollboxen je Tür/Monat</t>
  </si>
  <si>
    <t xml:space="preserve">Minis je Tür/Monat</t>
  </si>
  <si>
    <t xml:space="preserve">Vergütungsweg</t>
  </si>
  <si>
    <t xml:space="preserve">Startphase Kommission 30 %, danach Einkaufsweg mit Staffel; Webshop 10 % lebenslang</t>
  </si>
  <si>
    <t xml:space="preserve">Einkaufsweg ab Tag eins mit Staffel, keine Kommissionsphase</t>
  </si>
  <si>
    <t xml:space="preserve">Produktivität je Tür (Spalten H und I) zeigt das Basis-Szenario; Ziel- und Stress-Werte stehen in INPUT Zeilen 94 bis 107. Türenzahlen sind Jahresend-Ziele, das Modell interpoliert linear und lässt neue Partner über die Partner-Rampe anlaufen (INPUT Zeilen 109 bis 112).</t>
  </si>
  <si>
    <t xml:space="preserve">6 · Wareneinsatz je Box: Annahme im Modell und offenes Potential</t>
  </si>
  <si>
    <t xml:space="preserve">Das Modell rechnet in allen fünf Jahren mit 40,00 EUR je Vollbox (INPUT B19, eine Zelle, keine Jahresreihe). Das ist der heutige Preis im Jahresliefervertrag ab 5.000 Boxen. Der Hersteller stellt ab 10.000 Boxen im Jahr 25,00 EUR in Aussicht. Nach aktuellem Stand ist für die Serienfertigung ein Einkaufspreis unter 20,00 EUR denkbar, abhängig von Rohstoffpreisen, Chargengrösse und Bead-Aufbau. Diese Verbesserung ist bewusst nicht eingerechnet und bleibt als Potential offen. Folge für die Lesart der GuV: der Erlös je Box sinkt mit der Partnerstaffel bis Jahr 3, der Wareneinsatz je Box bleibt gleich, deshalb steigt die Wareneinsatzquote von 37,5 auf 43,1 Prozent und die Ertragskraft-Marge wächst nur langsam. Der Plan liegt an dieser Stelle auf der vorsichtigen Seite.</t>
  </si>
  <si>
    <t xml:space="preserve">Jahresvolumen im Modell gegen die Preisstufe des Herstellers</t>
  </si>
  <si>
    <t xml:space="preserve">Vollboxen verkauft im Jahr (MENGENGERÜST Zeile 31)</t>
  </si>
  <si>
    <t xml:space="preserve">Boxen bestellt im Jahr, Chargen (MENGENGERÜST Zeile 45)</t>
  </si>
  <si>
    <t xml:space="preserve">Wareneinsatz je Box im Modell (INPUT B19)</t>
  </si>
  <si>
    <t xml:space="preserve">Vom Hersteller in Aussicht gestellt ab 10.000 Boxen im Jahr</t>
  </si>
  <si>
    <t xml:space="preserve">Zielgrösse Serienfertigung (nach aktuellem Stand denkbar, nicht zugesagt)</t>
  </si>
  <si>
    <t xml:space="preserve">unter 20</t>
  </si>
  <si>
    <t xml:space="preserve">Bereits das Jahresvolumen in Jahr 1 liegt über 10.000 Boxen. Die 25-EUR-Stufe wäre nach Herstellerangabe damit ab Jahr 2 anwendbar, die Zielgrösse unter 20 EUR mit wachsender Chargengrösse ab Jahr 3 oder 4. Beides steht nicht im Plan.</t>
  </si>
  <si>
    <t xml:space="preserve">Sensitivität Ertragskraft (EBITDA vor Programm), EUR</t>
  </si>
  <si>
    <t xml:space="preserve">Summe 5 Jahre</t>
  </si>
  <si>
    <t xml:space="preserve">40,00 EUR je Box · Plan (ausgewiesen)</t>
  </si>
  <si>
    <t xml:space="preserve">35,00 EUR je Box</t>
  </si>
  <si>
    <t xml:space="preserve">30,00 EUR je Box</t>
  </si>
  <si>
    <t xml:space="preserve">25,00 EUR je Box · Herstellerangabe ab 10.000 Boxen im Jahr</t>
  </si>
  <si>
    <t xml:space="preserve">20,00 EUR je Box · Zielgrösse Serienfertigung</t>
  </si>
  <si>
    <t xml:space="preserve">Mehr-Ertragskraft bei 25,00 EUR gegenüber Plan</t>
  </si>
  <si>
    <t xml:space="preserve">Mehr-Ertragskraft bei 20,00 EUR gegenüber Plan</t>
  </si>
  <si>
    <t xml:space="preserve">Ertragskraft-Marge (Ertragskraft je Euro CORTHEA-Umsatz)</t>
  </si>
  <si>
    <t xml:space="preserve">Werte der Sensitivität: Neuberechnung des gesamten Modells mit geändertem INPUT B19, Basis-Szenario, alle anderen Eingaben unverändert (finanzmodell/sensitivitaet_wareneinsatz.py, Stand v2.2.6). Die Plan-Zeile ist live mit der GuV verknüpft, die übrigen Zeilen sind Ergebniswerte für das Basis-Szenario. Die Neuberechnung nimmt Folgewirkungen mit, etwa das früher einsetzende Gründerhonorar. Zum eigenen Nachrechnen: INPUT B19 ändern, alle Blätter rechnen live mit. Der CORTHEA-Umsatz ändert sich dabei nicht, der Effekt liegt vollständig in der Ertragskraft und im operativen Ergebnis.</t>
  </si>
  <si>
    <t xml:space="preserve">Liquidität (aktives Szenario)</t>
  </si>
  <si>
    <t xml:space="preserve">Jahreswerte = Summe der Monatszeilen aus MODELL. Cash-Bestand = Dezember-Wert des Jahres.</t>
  </si>
  <si>
    <t xml:space="preserve">Cash-Zufluss</t>
  </si>
  <si>
    <t xml:space="preserve">Cash-Abfluss operativ</t>
  </si>
  <si>
    <t xml:space="preserve">Deployment aus Kapital</t>
  </si>
  <si>
    <t xml:space="preserve">Reinvestition</t>
  </si>
  <si>
    <t xml:space="preserve">Cash-Bestand je Monat (Verweis auf MODELL, Zeile Cash-Bestand)</t>
  </si>
  <si>
    <t xml:space="preserve">Monat</t>
  </si>
  <si>
    <t xml:space="preserve">Jan 27</t>
  </si>
  <si>
    <t xml:space="preserve">Feb 27</t>
  </si>
  <si>
    <t xml:space="preserve">Mrz 27</t>
  </si>
  <si>
    <t xml:space="preserve">Apr 27</t>
  </si>
  <si>
    <t xml:space="preserve">Mai 27</t>
  </si>
  <si>
    <t xml:space="preserve">Jun 27</t>
  </si>
  <si>
    <t xml:space="preserve">Jul 27</t>
  </si>
  <si>
    <t xml:space="preserve">Aug 27</t>
  </si>
  <si>
    <t xml:space="preserve">Sep 27</t>
  </si>
  <si>
    <t xml:space="preserve">Okt 27</t>
  </si>
  <si>
    <t xml:space="preserve">Nov 27</t>
  </si>
  <si>
    <t xml:space="preserve">Dez 27</t>
  </si>
  <si>
    <t xml:space="preserve">Jan 28</t>
  </si>
  <si>
    <t xml:space="preserve">Feb 28</t>
  </si>
  <si>
    <t xml:space="preserve">Mrz 28</t>
  </si>
  <si>
    <t xml:space="preserve">Apr 28</t>
  </si>
  <si>
    <t xml:space="preserve">Mai 28</t>
  </si>
  <si>
    <t xml:space="preserve">Jun 28</t>
  </si>
  <si>
    <t xml:space="preserve">Jul 28</t>
  </si>
  <si>
    <t xml:space="preserve">Aug 28</t>
  </si>
  <si>
    <t xml:space="preserve">Sep 28</t>
  </si>
  <si>
    <t xml:space="preserve">Okt 28</t>
  </si>
  <si>
    <t xml:space="preserve">Nov 28</t>
  </si>
  <si>
    <t xml:space="preserve">Dez 28</t>
  </si>
  <si>
    <t xml:space="preserve">Jan 29</t>
  </si>
  <si>
    <t xml:space="preserve">Feb 29</t>
  </si>
  <si>
    <t xml:space="preserve">Mrz 29</t>
  </si>
  <si>
    <t xml:space="preserve">Apr 29</t>
  </si>
  <si>
    <t xml:space="preserve">Mai 29</t>
  </si>
  <si>
    <t xml:space="preserve">Jun 29</t>
  </si>
  <si>
    <t xml:space="preserve">Jul 29</t>
  </si>
  <si>
    <t xml:space="preserve">Aug 29</t>
  </si>
  <si>
    <t xml:space="preserve">Sep 29</t>
  </si>
  <si>
    <t xml:space="preserve">Okt 29</t>
  </si>
  <si>
    <t xml:space="preserve">Nov 29</t>
  </si>
  <si>
    <t xml:space="preserve">Dez 29</t>
  </si>
  <si>
    <t xml:space="preserve">Jan 30</t>
  </si>
  <si>
    <t xml:space="preserve">Feb 30</t>
  </si>
  <si>
    <t xml:space="preserve">Mrz 30</t>
  </si>
  <si>
    <t xml:space="preserve">Apr 30</t>
  </si>
  <si>
    <t xml:space="preserve">Mai 30</t>
  </si>
  <si>
    <t xml:space="preserve">Jun 30</t>
  </si>
  <si>
    <t xml:space="preserve">Jul 30</t>
  </si>
  <si>
    <t xml:space="preserve">Aug 30</t>
  </si>
  <si>
    <t xml:space="preserve">Sep 30</t>
  </si>
  <si>
    <t xml:space="preserve">Okt 30</t>
  </si>
  <si>
    <t xml:space="preserve">Nov 30</t>
  </si>
  <si>
    <t xml:space="preserve">Dez 30</t>
  </si>
  <si>
    <t xml:space="preserve">Jan 31</t>
  </si>
  <si>
    <t xml:space="preserve">Feb 31</t>
  </si>
  <si>
    <t xml:space="preserve">Mrz 31</t>
  </si>
  <si>
    <t xml:space="preserve">Apr 31</t>
  </si>
  <si>
    <t xml:space="preserve">Mai 31</t>
  </si>
  <si>
    <t xml:space="preserve">Jun 31</t>
  </si>
  <si>
    <t xml:space="preserve">Jul 31</t>
  </si>
  <si>
    <t xml:space="preserve">Aug 31</t>
  </si>
  <si>
    <t xml:space="preserve">Sep 31</t>
  </si>
  <si>
    <t xml:space="preserve">Okt 31</t>
  </si>
  <si>
    <t xml:space="preserve">Nov 31</t>
  </si>
  <si>
    <t xml:space="preserve">Dez 31</t>
  </si>
  <si>
    <t xml:space="preserve">Cash-Bestand</t>
  </si>
  <si>
    <t xml:space="preserve">Kennzahlen / Unit Economics (aktives Szenario)</t>
  </si>
  <si>
    <t xml:space="preserve">Neukunden gesamt</t>
  </si>
  <si>
    <t xml:space="preserve">Abonnenten Jahresende</t>
  </si>
  <si>
    <t xml:space="preserve">Nettopreis je Box</t>
  </si>
  <si>
    <t xml:space="preserve">Deckungsbeitrag je Box (D2C)</t>
  </si>
  <si>
    <t xml:space="preserve">Ø Boxen je Kunde (Lebensdauer)</t>
  </si>
  <si>
    <t xml:space="preserve">LTV (D2C, konservativ)</t>
  </si>
  <si>
    <t xml:space="preserve">CAC (Paid, aktiv)</t>
  </si>
  <si>
    <t xml:space="preserve">LTV / CAC</t>
  </si>
  <si>
    <t xml:space="preserve">CAC-Payback (Monate)</t>
  </si>
  <si>
    <t xml:space="preserve">Blended CAC (inkl. Organik)</t>
  </si>
  <si>
    <t xml:space="preserve">Boxen gesamt (Volumen)</t>
  </si>
  <si>
    <t xml:space="preserve">Marketing- und Neukundenplan (aktives Szenario)</t>
  </si>
  <si>
    <t xml:space="preserve">Budget (Programm-getrieben)</t>
  </si>
  <si>
    <t xml:space="preserve">Performance-Marketing gesamt</t>
  </si>
  <si>
    <t xml:space="preserve">    davon Google Ads (~55%)</t>
  </si>
  <si>
    <t xml:space="preserve">    davon Meta (~45%)</t>
  </si>
  <si>
    <t xml:space="preserve">Science / Studien-Content (Programm)</t>
  </si>
  <si>
    <t xml:space="preserve">Provisionen Vor-Ort und Webshop</t>
  </si>
  <si>
    <t xml:space="preserve">Agenten-Vergütung B2B</t>
  </si>
  <si>
    <t xml:space="preserve">Wirkung / Neukunden</t>
  </si>
  <si>
    <t xml:space="preserve">Organik-Quote Neukunden</t>
  </si>
  <si>
    <t xml:space="preserve">    davon organisch</t>
  </si>
  <si>
    <t xml:space="preserve">    davon Paid</t>
  </si>
  <si>
    <t xml:space="preserve">Ziel-CAC Paid (aktiv)</t>
  </si>
  <si>
    <t xml:space="preserve">B2B-Aktivierung (Türen Jahresende)</t>
  </si>
  <si>
    <t xml:space="preserve">Minis gesamt (Jahr)</t>
  </si>
  <si>
    <t xml:space="preserve">Personalplan (aktives Szenario)</t>
  </si>
  <si>
    <t xml:space="preserve">Kopfzahl (FTE, Jahresende)</t>
  </si>
  <si>
    <t xml:space="preserve">Marketing / Web</t>
  </si>
  <si>
    <t xml:space="preserve">Operations</t>
  </si>
  <si>
    <t xml:space="preserve">Customer Success</t>
  </si>
  <si>
    <t xml:space="preserve">Vertrieb</t>
  </si>
  <si>
    <t xml:space="preserve">FTE gesamt</t>
  </si>
  <si>
    <t xml:space="preserve">Personalkosten (aus MODELL)</t>
  </si>
  <si>
    <t xml:space="preserve">Personal gesamt (inkl. Fremdleistung)</t>
  </si>
  <si>
    <t xml:space="preserve">    davon Fremdleistung (variabel)</t>
  </si>
  <si>
    <t xml:space="preserve">Gründerhonorar startet erst nach 3 Monaten Ertragskraft über 10 Tsd EUR, dann 2.500 EUR netto je Gründer.</t>
  </si>
  <si>
    <t xml:space="preserve">MONATSMODELL · alle Formeln sichtbar. Nur das Treiber-Band nutzt CHOOSE/INDEX für das aktive Szenario.</t>
  </si>
  <si>
    <t xml:space="preserve">Jahr</t>
  </si>
  <si>
    <t xml:space="preserve">· Jahr-Index (Hilfswert)</t>
  </si>
  <si>
    <t xml:space="preserve">· Anteil im Jahr (Hilfswert)</t>
  </si>
  <si>
    <t xml:space="preserve">TREIBER (aktiv im gewählten Szenario, je Monat — hier greift der Szenario-Schalter)</t>
  </si>
  <si>
    <t xml:space="preserve">Performance-Marketing / Monat</t>
  </si>
  <si>
    <t xml:space="preserve">Monat-1-Retention (aktiv)</t>
  </si>
  <si>
    <t xml:space="preserve">Churn Monats-Abo (aktiv)</t>
  </si>
  <si>
    <t xml:space="preserve">CAC (aktiv)</t>
  </si>
  <si>
    <t xml:space="preserve">Organik-Anteil (aktiv)</t>
  </si>
  <si>
    <t xml:space="preserve">Apotheken-Boxen je Tür (aktiv)</t>
  </si>
  <si>
    <t xml:space="preserve">Vollboxen je Hotel (aktiv)</t>
  </si>
  <si>
    <t xml:space="preserve">Vollboxen je Erlebnis (aktiv)</t>
  </si>
  <si>
    <t xml:space="preserve">Partner-Rampe (aktiv)</t>
  </si>
  <si>
    <t xml:space="preserve">Conversion Mini→Abo (aktiv)</t>
  </si>
  <si>
    <t xml:space="preserve">D2C-Fulfillment je Box</t>
  </si>
  <si>
    <t xml:space="preserve">Einkaufskondition</t>
  </si>
  <si>
    <t xml:space="preserve">Vertrieb FTE je Jahr</t>
  </si>
  <si>
    <t xml:space="preserve">NEUKUNDEN &amp; ABONNENTEN (D2C)</t>
  </si>
  <si>
    <t xml:space="preserve">Neukunden (= Marketing / CAC / (1-Organik))</t>
  </si>
  <si>
    <t xml:space="preserve">Monats-Abonnenten (Bestand)</t>
  </si>
  <si>
    <t xml:space="preserve">Jahres-Abonnenten (Bestand)</t>
  </si>
  <si>
    <t xml:space="preserve">· davon Neukunden Jahres-Abo</t>
  </si>
  <si>
    <t xml:space="preserve">D2C-UMSATZ</t>
  </si>
  <si>
    <t xml:space="preserve">D2C-Boxen (Erstbox + Bestand)</t>
  </si>
  <si>
    <t xml:space="preserve">B2B VOR-ORT (Hotels, Erlebnis-Partner)</t>
  </si>
  <si>
    <t xml:space="preserve">Hotels aktiv (interpoliert)</t>
  </si>
  <si>
    <t xml:space="preserve">Erlebnis-Partner aktiv (interpoliert)</t>
  </si>
  <si>
    <t xml:space="preserve">Minis (Stk)</t>
  </si>
  <si>
    <t xml:space="preserve">Vollboxen Vor-Ort</t>
  </si>
  <si>
    <t xml:space="preserve">Startphasen-Anteil</t>
  </si>
  <si>
    <t xml:space="preserve">· Vor-Ort Kommissionsumsatz Startphase (Endkundenpreis, CORTHEA Verkäufer, Provision in Z54)</t>
  </si>
  <si>
    <t xml:space="preserve">· Vor-Ort Umsatz Einkaufsweg: Verkauf an Partner zum Einkaufspreis (Netto × (1 − Kondition))</t>
  </si>
  <si>
    <t xml:space="preserve">Vor-Ort Umsatz (Verkauf an Partner + Kommission)</t>
  </si>
  <si>
    <t xml:space="preserve">APOTHEKE</t>
  </si>
  <si>
    <t xml:space="preserve">Apotheken aktiv (interpoliert)</t>
  </si>
  <si>
    <t xml:space="preserve">Apotheken-Boxen</t>
  </si>
  <si>
    <t xml:space="preserve">Apotheken-Umsatz: Verkauf an Apotheken zum Einkaufspreis (Netto × (1 − Kondition))</t>
  </si>
  <si>
    <t xml:space="preserve">PARTNER / WEBSHOP (aus Mini-Probierkäufen)</t>
  </si>
  <si>
    <t xml:space="preserve">Partner-Abonnenten (Bestand)</t>
  </si>
  <si>
    <t xml:space="preserve">Partner-Boxen</t>
  </si>
  <si>
    <t xml:space="preserve">Partner-Umsatz Webshop (Endkundenpreis, CORTHEA verkauft direkt, 10 % Provision in Z54)</t>
  </si>
  <si>
    <t xml:space="preserve">NETTOUMSATZ</t>
  </si>
  <si>
    <t xml:space="preserve">Nettoumsatz gesamt (Summe der 4 Umsatzarten)</t>
  </si>
  <si>
    <t xml:space="preserve">WARENEINSATZ &amp; LOGISTIK</t>
  </si>
  <si>
    <t xml:space="preserve">Boxen gesamt (Bedarf)</t>
  </si>
  <si>
    <t xml:space="preserve">Wareneinsatz (Boxen + Minis)</t>
  </si>
  <si>
    <t xml:space="preserve">VERGÜTUNG</t>
  </si>
  <si>
    <t xml:space="preserve">Provisionen an Partner (30 % Kommissionsphase + 10 % Webshop)</t>
  </si>
  <si>
    <t xml:space="preserve">· Agenten-Bemessungsbasis (Hilfswert)</t>
  </si>
  <si>
    <t xml:space="preserve">Agenten-Vergütung</t>
  </si>
  <si>
    <t xml:space="preserve">PERSONAL &amp; FIXKOSTEN</t>
  </si>
  <si>
    <t xml:space="preserve">· Türen gesamt (Hilfswert)</t>
  </si>
  <si>
    <t xml:space="preserve">· Abos gesamt (Hilfswert)</t>
  </si>
  <si>
    <t xml:space="preserve">FTE Vertrieb</t>
  </si>
  <si>
    <t xml:space="preserve">FTE Customer Success</t>
  </si>
  <si>
    <t xml:space="preserve">FTE Operations</t>
  </si>
  <si>
    <t xml:space="preserve">Fremdleistung (variabel)</t>
  </si>
  <si>
    <t xml:space="preserve">Personal gesamt</t>
  </si>
  <si>
    <t xml:space="preserve">Gemeinkosten / Monat</t>
  </si>
  <si>
    <t xml:space="preserve">Technik / Monat</t>
  </si>
  <si>
    <t xml:space="preserve">ERTRAGSKRAFT (EBITDA vor Wachstumsprogramm)</t>
  </si>
  <si>
    <t xml:space="preserve">Ertragskraft vor Gründerhonorar</t>
  </si>
  <si>
    <t xml:space="preserve">· Streak-Zähler (Hilfswert)</t>
  </si>
  <si>
    <t xml:space="preserve">· Honorar aktiv (Hilfswert)</t>
  </si>
  <si>
    <t xml:space="preserve">WORKING CAPITAL / CHARGEN-BESTELLUNG</t>
  </si>
  <si>
    <t xml:space="preserve">· Bedarf Horizont 3 Monate (Hilfswert)</t>
  </si>
  <si>
    <t xml:space="preserve">· Charge-Eingang (Hilfswert)</t>
  </si>
  <si>
    <t xml:space="preserve">· Bestand vor Nachorder (Hilfswert)</t>
  </si>
  <si>
    <t xml:space="preserve">Charge-Bestellung</t>
  </si>
  <si>
    <t xml:space="preserve">Lagerbestand</t>
  </si>
  <si>
    <t xml:space="preserve">Zahlung Wareneinsatz (Cash)</t>
  </si>
  <si>
    <t xml:space="preserve">CASH &amp; DEPLOYMENT</t>
  </si>
  <si>
    <t xml:space="preserve">· Jahres-Abo Verlängerung (Hilfswert)</t>
  </si>
  <si>
    <t xml:space="preserve">Liquiditäts-Floor</t>
  </si>
  <si>
    <t xml:space="preserve">· Cash vor Deployment (Hilfswert)</t>
  </si>
  <si>
    <t xml:space="preserve">· Deployment-Rest (Hilfswert)</t>
  </si>
  <si>
    <t xml:space="preserve">· Cash nach Deployment (Hilfswert)</t>
  </si>
  <si>
    <t xml:space="preserve">Cash-Bestand (Ende Monat)</t>
  </si>
  <si>
    <t xml:space="preserve">CORTHEA Nutrition GmbH · Finanzplan · Annahmen v2.2</t>
  </si>
  <si>
    <t xml:space="preserve">Hell hinterlegte Felder sind Eingaben. Szenario über B5 umschalten.</t>
  </si>
  <si>
    <t xml:space="preserve">SZENARIO-SCHALTER (1=Basis, 2=Ziel, 3=Stress)</t>
  </si>
  <si>
    <t xml:space="preserve">Preis und Steuer</t>
  </si>
  <si>
    <t xml:space="preserve">Bruttopreis Box</t>
  </si>
  <si>
    <t xml:space="preserve">USt</t>
  </si>
  <si>
    <t xml:space="preserve">Nettopreis Box</t>
  </si>
  <si>
    <t xml:space="preserve">Jahres-Abo Rabatt</t>
  </si>
  <si>
    <t xml:space="preserve">Nettopreis Jahres-Abo/Monat</t>
  </si>
  <si>
    <t xml:space="preserve">Jahres-Abo Anteil Neukunden</t>
  </si>
  <si>
    <t xml:space="preserve">Start-Abos Jan 2027</t>
  </si>
  <si>
    <t xml:space="preserve">Mini Bruttopreis</t>
  </si>
  <si>
    <t xml:space="preserve">Mini netto</t>
  </si>
  <si>
    <t xml:space="preserve">Mini Wareneinsatz</t>
  </si>
  <si>
    <t xml:space="preserve">Kosten je Box / Jahresreihen (B..F = Jahr 1..5)</t>
  </si>
  <si>
    <t xml:space="preserve">Wareneinsatz Box</t>
  </si>
  <si>
    <t xml:space="preserve">Jahresliefervertrag ab 5.000 Boxen. Bewusst konstant über alle fünf Jahre (eine Zelle, keine Jahresreihe). Preisstaffel des Herstellers (25 EUR ab 10.000 Boxen im Jahr, Ziel Serie unter 20 EUR) nicht eingerechnet, siehe KONDITIONEN Block 6.</t>
  </si>
  <si>
    <t xml:space="preserve">J1</t>
  </si>
  <si>
    <t xml:space="preserve">J2</t>
  </si>
  <si>
    <t xml:space="preserve">J3</t>
  </si>
  <si>
    <t xml:space="preserve">J4</t>
  </si>
  <si>
    <t xml:space="preserve">J5</t>
  </si>
  <si>
    <t xml:space="preserve">Organik-Anteil Neukunden</t>
  </si>
  <si>
    <t xml:space="preserve">Performance-Marketing (Google+Meta)</t>
  </si>
  <si>
    <t xml:space="preserve">Science/Studien (Programm)</t>
  </si>
  <si>
    <t xml:space="preserve">B2B-Türen (Jahresende; B=Ende 2026) und Funnel</t>
  </si>
  <si>
    <t xml:space="preserve">E26</t>
  </si>
  <si>
    <t xml:space="preserve">Minis je Hotel/Monat</t>
  </si>
  <si>
    <t xml:space="preserve">Minis je Erlebnis/Monat</t>
  </si>
  <si>
    <t xml:space="preserve">Startphasen-Anteil Jahr 1</t>
  </si>
  <si>
    <t xml:space="preserve">Startphasen-Anteil ab Jahr 2</t>
  </si>
  <si>
    <t xml:space="preserve">Vergütung</t>
  </si>
  <si>
    <t xml:space="preserve">Provision Vor-Ort Startphase</t>
  </si>
  <si>
    <t xml:space="preserve">Provision Webshop</t>
  </si>
  <si>
    <t xml:space="preserve">Agenten-Anteil B2B</t>
  </si>
  <si>
    <t xml:space="preserve">Agentenprovision</t>
  </si>
  <si>
    <t xml:space="preserve">Einkaufskondition Staffel (Partnerabschlag vom Netto, J1 bis J5; Einkaufspreis Partner siehe KONDITIONEN)</t>
  </si>
  <si>
    <t xml:space="preserve">Personal (Vollkosten p.a.)</t>
  </si>
  <si>
    <t xml:space="preserve">Marketing/Web</t>
  </si>
  <si>
    <t xml:space="preserve">Operations je FTE</t>
  </si>
  <si>
    <t xml:space="preserve">Customer Success je FTE</t>
  </si>
  <si>
    <t xml:space="preserve">Vertrieb je FTE</t>
  </si>
  <si>
    <t xml:space="preserve">Auslöser Türen</t>
  </si>
  <si>
    <t xml:space="preserve">CS 1 FTE ab Abos</t>
  </si>
  <si>
    <t xml:space="preserve">CS 2 FTE ab Abos</t>
  </si>
  <si>
    <t xml:space="preserve">Ops 2 FTE ab Jahr</t>
  </si>
  <si>
    <t xml:space="preserve">Fremdleistung Anteil Umsatz (ab J2)</t>
  </si>
  <si>
    <t xml:space="preserve">Gründerhonorar/Gründer/Monat</t>
  </si>
  <si>
    <t xml:space="preserve">Anzahl Gründer</t>
  </si>
  <si>
    <t xml:space="preserve">Trigger Ertragskraft/Monat</t>
  </si>
  <si>
    <t xml:space="preserve">Cash, Deployment, Working Capital</t>
  </si>
  <si>
    <t xml:space="preserve">Wachstumskapital gesamt</t>
  </si>
  <si>
    <t xml:space="preserve">Deployment-Betrag</t>
  </si>
  <si>
    <t xml:space="preserve">Marketing/Distribution</t>
  </si>
  <si>
    <t xml:space="preserve">Deployment-Monate</t>
  </si>
  <si>
    <t xml:space="preserve">Reinvestitionsquote</t>
  </si>
  <si>
    <t xml:space="preserve">Floor = x Monatsauszahlungen</t>
  </si>
  <si>
    <t xml:space="preserve">Vorkasse-Anteil Jahres-Abo (Regler)</t>
  </si>
  <si>
    <t xml:space="preserve">MOQ Charge</t>
  </si>
  <si>
    <t xml:space="preserve">Lieferzeit Monate</t>
  </si>
  <si>
    <t xml:space="preserve">Zahlung Bestellung</t>
  </si>
  <si>
    <t xml:space="preserve">Zahlung Lieferung</t>
  </si>
  <si>
    <t xml:space="preserve">Zahlung 60 Tage</t>
  </si>
  <si>
    <t xml:space="preserve">Erstcharge Boxen</t>
  </si>
  <si>
    <t xml:space="preserve">Erstcharge Wareneinsatz/Box</t>
  </si>
  <si>
    <t xml:space="preserve">[$-407]#,##0.00;(-#,##0.00);"-"</t>
  </si>
  <si>
    <t xml:space="preserve">SZENARIO-TREIBER (Basis/Ziel/Stress; aktiv=CHOOSE)</t>
  </si>
  <si>
    <t xml:space="preserve">Monat-1-Retention</t>
  </si>
  <si>
    <t xml:space="preserve">  Basis</t>
  </si>
  <si>
    <t xml:space="preserve">  Ziel</t>
  </si>
  <si>
    <t xml:space="preserve">  Stress</t>
  </si>
  <si>
    <t xml:space="preserve">  aktiv</t>
  </si>
  <si>
    <t xml:space="preserve">Churn Monats-Abo</t>
  </si>
  <si>
    <t xml:space="preserve">CAC</t>
  </si>
  <si>
    <t xml:space="preserve">Apotheken Boxen/Tür</t>
  </si>
  <si>
    <t xml:space="preserve">Vollboxen je Hotel/Monat</t>
  </si>
  <si>
    <t xml:space="preserve">Vollboxen je Erlebnis/Monat</t>
  </si>
  <si>
    <t xml:space="preserve">Partner-Rampe Faktor</t>
  </si>
  <si>
    <t xml:space="preserve">Conversion Mini→Abo</t>
  </si>
  <si>
    <t xml:space="preserve">Jahres-Abo Churn/Monat</t>
  </si>
</sst>
</file>

<file path=xl/styles.xml><?xml version="1.0" encoding="utf-8"?>
<styleSheet xmlns="http://schemas.openxmlformats.org/spreadsheetml/2006/main">
  <numFmts count="10">
    <numFmt numFmtId="164" formatCode="General"/>
    <numFmt numFmtId="165" formatCode="[$-407]#,##0;&quot;(-&quot;#,##0\);\-"/>
    <numFmt numFmtId="166" formatCode="0.0%"/>
    <numFmt numFmtId="167" formatCode="[$-407]#,##0.00;&quot;(-&quot;#,##0.00\);\-"/>
    <numFmt numFmtId="168" formatCode="0"/>
    <numFmt numFmtId="169" formatCode="0.0"/>
    <numFmt numFmtId="170" formatCode="0.00"/>
    <numFmt numFmtId="171" formatCode="@"/>
    <numFmt numFmtId="172" formatCode="0.0\x"/>
    <numFmt numFmtId="173" formatCode="e\Ur"/>
  </numFmts>
  <fonts count="17">
    <font>
      <sz val="11"/>
      <color theme="1"/>
      <name val="Calibri"/>
      <family val="2"/>
      <charset val="1"/>
    </font>
    <font>
      <sz val="10"/>
      <name val="Arial"/>
      <family val="0"/>
    </font>
    <font>
      <sz val="10"/>
      <name val="Arial"/>
      <family val="0"/>
    </font>
    <font>
      <sz val="10"/>
      <name val="Arial"/>
      <family val="0"/>
    </font>
    <font>
      <b val="true"/>
      <sz val="18"/>
      <color rgb="FF343434"/>
      <name val="Arial"/>
      <family val="0"/>
      <charset val="1"/>
    </font>
    <font>
      <sz val="12"/>
      <color rgb="FF6B6559"/>
      <name val="Arial"/>
      <family val="0"/>
      <charset val="1"/>
    </font>
    <font>
      <b val="true"/>
      <sz val="10"/>
      <color rgb="FF343434"/>
      <name val="Arial"/>
      <family val="0"/>
      <charset val="1"/>
    </font>
    <font>
      <b val="true"/>
      <sz val="12"/>
      <color rgb="FF7C7A6A"/>
      <name val="Arial"/>
      <family val="0"/>
      <charset val="1"/>
    </font>
    <font>
      <sz val="8"/>
      <color rgb="FF6B6559"/>
      <name val="Arial"/>
      <family val="0"/>
      <charset val="1"/>
    </font>
    <font>
      <b val="true"/>
      <sz val="11"/>
      <color rgb="FF343434"/>
      <name val="Arial"/>
      <family val="0"/>
      <charset val="1"/>
    </font>
    <font>
      <b val="true"/>
      <sz val="10"/>
      <color rgb="FFFFFFFF"/>
      <name val="Arial"/>
      <family val="0"/>
      <charset val="1"/>
    </font>
    <font>
      <sz val="10"/>
      <color rgb="FF343434"/>
      <name val="Arial"/>
      <family val="0"/>
      <charset val="1"/>
    </font>
    <font>
      <b val="true"/>
      <sz val="13"/>
      <color rgb="FF343434"/>
      <name val="Arial"/>
      <family val="0"/>
      <charset val="1"/>
    </font>
    <font>
      <i val="true"/>
      <sz val="8"/>
      <color rgb="FF6B6559"/>
      <name val="Arial"/>
      <family val="0"/>
      <charset val="1"/>
    </font>
    <font>
      <b val="true"/>
      <sz val="12"/>
      <color rgb="FF343434"/>
      <name val="Arial"/>
      <family val="0"/>
      <charset val="1"/>
    </font>
    <font>
      <b val="true"/>
      <sz val="11"/>
      <color rgb="FF7C7A6A"/>
      <name val="Arial"/>
      <family val="0"/>
      <charset val="1"/>
    </font>
    <font>
      <b val="true"/>
      <sz val="9"/>
      <color rgb="FF7C7A6A"/>
      <name val="Arial"/>
      <family val="0"/>
      <charset val="1"/>
    </font>
  </fonts>
  <fills count="7">
    <fill>
      <patternFill patternType="none"/>
    </fill>
    <fill>
      <patternFill patternType="gray125"/>
    </fill>
    <fill>
      <patternFill patternType="solid">
        <fgColor rgb="FFEFEAE4"/>
        <bgColor rgb="FFF0EDE7"/>
      </patternFill>
    </fill>
    <fill>
      <patternFill patternType="solid">
        <fgColor rgb="FF343434"/>
        <bgColor rgb="FF333300"/>
      </patternFill>
    </fill>
    <fill>
      <patternFill patternType="solid">
        <fgColor rgb="FFF0EDE7"/>
        <bgColor rgb="FFF2EFEA"/>
      </patternFill>
    </fill>
    <fill>
      <patternFill patternType="solid">
        <fgColor rgb="FFF2EFEA"/>
        <bgColor rgb="FFF0EDE7"/>
      </patternFill>
    </fill>
    <fill>
      <patternFill patternType="solid">
        <fgColor rgb="FFE6E1D6"/>
        <bgColor rgb="FFEFEAE4"/>
      </patternFill>
    </fill>
  </fills>
  <borders count="3">
    <border diagonalUp="false" diagonalDown="false">
      <left/>
      <right/>
      <top/>
      <bottom/>
      <diagonal/>
    </border>
    <border diagonalUp="false" diagonalDown="false">
      <left/>
      <right/>
      <top/>
      <bottom style="thin">
        <color rgb="FF7C7A6A"/>
      </bottom>
      <diagonal/>
    </border>
    <border diagonalUp="false" diagonalDown="false">
      <left/>
      <right/>
      <top style="thin">
        <color rgb="FFB8953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center"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general" vertical="bottom" textRotation="0" wrapText="false" indent="0" shrinkToFit="false"/>
      <protection locked="true" hidden="false"/>
    </xf>
    <xf numFmtId="165" fontId="6" fillId="0" borderId="2" xfId="0" applyFont="true" applyBorder="tru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7" fontId="6" fillId="0" borderId="2"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8" fontId="6" fillId="0" borderId="2" xfId="0" applyFont="true" applyBorder="tru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right" vertical="bottom" textRotation="0" wrapText="false" indent="0" shrinkToFit="false"/>
      <protection locked="true" hidden="false"/>
    </xf>
    <xf numFmtId="168" fontId="11" fillId="4"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top" textRotation="0" wrapText="true" indent="0" shrinkToFit="false"/>
      <protection locked="true" hidden="false"/>
    </xf>
    <xf numFmtId="168" fontId="8" fillId="0" borderId="0" xfId="0" applyFont="true" applyBorder="false" applyAlignment="true" applyProtection="false">
      <alignment horizontal="right"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7" fontId="11"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right"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5" fontId="11" fillId="0" borderId="2" xfId="0" applyFont="true" applyBorder="tru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bottom" textRotation="0" wrapText="false" indent="0" shrinkToFit="false"/>
      <protection locked="true" hidden="false"/>
    </xf>
    <xf numFmtId="172" fontId="0" fillId="0" borderId="0" xfId="0" applyFont="fals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5" fontId="0" fillId="5" borderId="0" xfId="0" applyFont="false" applyBorder="false" applyAlignment="true" applyProtection="false">
      <alignment horizontal="general" vertical="bottom" textRotation="0" wrapText="false" indent="0" shrinkToFit="false"/>
      <protection locked="true" hidden="false"/>
    </xf>
    <xf numFmtId="166" fontId="0" fillId="5" borderId="0" xfId="0" applyFont="false" applyBorder="false" applyAlignment="true" applyProtection="false">
      <alignment horizontal="general" vertical="bottom" textRotation="0" wrapText="false" indent="0" shrinkToFit="false"/>
      <protection locked="true" hidden="false"/>
    </xf>
    <xf numFmtId="167" fontId="0" fillId="5" borderId="0" xfId="0" applyFont="false" applyBorder="false" applyAlignment="true" applyProtection="false">
      <alignment horizontal="general" vertical="bottom" textRotation="0" wrapText="false" indent="0" shrinkToFit="false"/>
      <protection locked="true" hidden="false"/>
    </xf>
    <xf numFmtId="168" fontId="14" fillId="6"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7" fontId="11" fillId="4" borderId="0" xfId="0" applyFont="true" applyBorder="false" applyAlignment="true" applyProtection="false">
      <alignment horizontal="general" vertical="bottom" textRotation="0" wrapText="false" indent="0" shrinkToFit="false"/>
      <protection locked="true" hidden="false"/>
    </xf>
    <xf numFmtId="166" fontId="11" fillId="4" borderId="0" xfId="0" applyFont="true" applyBorder="false" applyAlignment="true" applyProtection="false">
      <alignment horizontal="general" vertical="bottom" textRotation="0" wrapText="false" indent="0" shrinkToFit="false"/>
      <protection locked="true" hidden="false"/>
    </xf>
    <xf numFmtId="166" fontId="11" fillId="6" borderId="0" xfId="0" applyFont="true" applyBorder="false" applyAlignment="true" applyProtection="false">
      <alignment horizontal="general" vertical="bottom" textRotation="0" wrapText="false" indent="0" shrinkToFit="false"/>
      <protection locked="true" hidden="false"/>
    </xf>
    <xf numFmtId="165" fontId="11" fillId="4" borderId="0" xfId="0" applyFont="true" applyBorder="false" applyAlignment="true" applyProtection="false">
      <alignment horizontal="general" vertical="bottom" textRotation="0" wrapText="false" indent="0" shrinkToFit="false"/>
      <protection locked="true" hidden="false"/>
    </xf>
    <xf numFmtId="167" fontId="11" fillId="6" borderId="0" xfId="0" applyFont="true" applyBorder="false" applyAlignment="true" applyProtection="false">
      <alignment horizontal="general" vertical="bottom" textRotation="0" wrapText="false" indent="0" shrinkToFit="false"/>
      <protection locked="true" hidden="false"/>
    </xf>
    <xf numFmtId="165" fontId="11" fillId="6" borderId="0" xfId="0" applyFont="true" applyBorder="false" applyAlignment="true" applyProtection="false">
      <alignment horizontal="general" vertical="bottom" textRotation="0" wrapText="false" indent="0" shrinkToFit="false"/>
      <protection locked="true" hidden="false"/>
    </xf>
    <xf numFmtId="173" fontId="11"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7" fontId="16"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C7A6A"/>
      <rgbColor rgb="FF9999FF"/>
      <rgbColor rgb="FF993366"/>
      <rgbColor rgb="FFF2EFEA"/>
      <rgbColor rgb="FFF0EDE7"/>
      <rgbColor rgb="FF660066"/>
      <rgbColor rgb="FFFF8080"/>
      <rgbColor rgb="FF0066CC"/>
      <rgbColor rgb="FFE6E1D6"/>
      <rgbColor rgb="FF000080"/>
      <rgbColor rgb="FFFF00FF"/>
      <rgbColor rgb="FFFFFF00"/>
      <rgbColor rgb="FF00FFFF"/>
      <rgbColor rgb="FF800080"/>
      <rgbColor rgb="FF800000"/>
      <rgbColor rgb="FF008080"/>
      <rgbColor rgb="FF0000FF"/>
      <rgbColor rgb="FF00CCFF"/>
      <rgbColor rgb="FFCCFFFF"/>
      <rgbColor rgb="FFEFEAE4"/>
      <rgbColor rgb="FFFFFF99"/>
      <rgbColor rgb="FF99CCFF"/>
      <rgbColor rgb="FFFF99CC"/>
      <rgbColor rgb="FFCC99FF"/>
      <rgbColor rgb="FFFFCC99"/>
      <rgbColor rgb="FF3366FF"/>
      <rgbColor rgb="FF33CCCC"/>
      <rgbColor rgb="FF99CC00"/>
      <rgbColor rgb="FFFFCC00"/>
      <rgbColor rgb="FFFF9900"/>
      <rgbColor rgb="FFFF6600"/>
      <rgbColor rgb="FF6B6559"/>
      <rgbColor rgb="FFB8953F"/>
      <rgbColor rgb="FF003366"/>
      <rgbColor rgb="FF339966"/>
      <rgbColor rgb="FF003300"/>
      <rgbColor rgb="FF333300"/>
      <rgbColor rgb="FF993300"/>
      <rgbColor rgb="FF993366"/>
      <rgbColor rgb="FF333399"/>
      <rgbColor rgb="FF3434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16</xdr:row>
      <xdr:rowOff>176040</xdr:rowOff>
    </xdr:from>
    <xdr:to>
      <xdr:col>1</xdr:col>
      <xdr:colOff>6986520</xdr:colOff>
      <xdr:row>35</xdr:row>
      <xdr:rowOff>184680</xdr:rowOff>
    </xdr:to>
    <xdr:pic>
      <xdr:nvPicPr>
        <xdr:cNvPr id="0" name="Image 1" descr="Picture"/>
        <xdr:cNvPicPr/>
      </xdr:nvPicPr>
      <xdr:blipFill>
        <a:blip r:embed="rId1"/>
        <a:stretch/>
      </xdr:blipFill>
      <xdr:spPr>
        <a:xfrm>
          <a:off x="0" y="6472080"/>
          <a:ext cx="9524160" cy="3713760"/>
        </a:xfrm>
        <a:prstGeom prst="rect">
          <a:avLst/>
        </a:prstGeom>
        <a:ln w="0">
          <a:noFill/>
        </a:ln>
      </xdr:spPr>
    </xdr:pic>
    <xdr:clientData/>
  </xdr:twoCellAnchor>
  <xdr:twoCellAnchor editAs="oneCell">
    <xdr:from>
      <xdr:col>0</xdr:col>
      <xdr:colOff>0</xdr:colOff>
      <xdr:row>38</xdr:row>
      <xdr:rowOff>176040</xdr:rowOff>
    </xdr:from>
    <xdr:to>
      <xdr:col>1</xdr:col>
      <xdr:colOff>6986520</xdr:colOff>
      <xdr:row>62</xdr:row>
      <xdr:rowOff>108720</xdr:rowOff>
    </xdr:to>
    <xdr:pic>
      <xdr:nvPicPr>
        <xdr:cNvPr id="1" name="Image 2" descr="Picture"/>
        <xdr:cNvPicPr/>
      </xdr:nvPicPr>
      <xdr:blipFill>
        <a:blip r:embed="rId2"/>
        <a:stretch/>
      </xdr:blipFill>
      <xdr:spPr>
        <a:xfrm>
          <a:off x="0" y="10748880"/>
          <a:ext cx="9524160" cy="4504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A6A"/>
    <pageSetUpPr fitToPage="false"/>
  </sheetPr>
  <dimension ref="A1:F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6" min="2" style="1" width="15"/>
  </cols>
  <sheetData>
    <row r="1" customFormat="false" ht="21.75" hidden="false" customHeight="true" outlineLevel="0" collapsed="false">
      <c r="A1" s="2" t="s">
        <v>0</v>
      </c>
    </row>
    <row r="2" customFormat="false" ht="15" hidden="false" customHeight="true" outlineLevel="0" collapsed="false">
      <c r="A2" s="3" t="s">
        <v>1</v>
      </c>
    </row>
    <row r="4" customFormat="false" ht="15" hidden="false" customHeight="true" outlineLevel="0" collapsed="false">
      <c r="A4" s="4" t="s">
        <v>2</v>
      </c>
      <c r="B4" s="5" t="str">
        <f aca="false">INPUT!D5</f>
        <v>BASIS (realistisch)</v>
      </c>
    </row>
    <row r="5" customFormat="false" ht="15" hidden="false" customHeight="true" outlineLevel="0" collapsed="false">
      <c r="A5" s="6" t="s">
        <v>3</v>
      </c>
    </row>
    <row r="7" customFormat="false" ht="15" hidden="false" customHeight="true" outlineLevel="0" collapsed="false">
      <c r="A7" s="7" t="s">
        <v>4</v>
      </c>
      <c r="B7" s="8"/>
      <c r="C7" s="8"/>
      <c r="D7" s="8"/>
      <c r="E7" s="8"/>
      <c r="F7" s="8"/>
    </row>
    <row r="8" customFormat="false" ht="15" hidden="false" customHeight="true" outlineLevel="0" collapsed="false">
      <c r="B8" s="9" t="s">
        <v>5</v>
      </c>
      <c r="C8" s="9" t="s">
        <v>6</v>
      </c>
      <c r="D8" s="9" t="s">
        <v>7</v>
      </c>
      <c r="E8" s="9" t="s">
        <v>8</v>
      </c>
      <c r="F8" s="9" t="s">
        <v>9</v>
      </c>
    </row>
    <row r="9" customFormat="false" ht="15" hidden="false" customHeight="true" outlineLevel="0" collapsed="false">
      <c r="A9" s="4" t="s">
        <v>10</v>
      </c>
      <c r="B9" s="10" t="n">
        <f aca="false">SUM(MODELL!B47:M47)</f>
        <v>1517144.37230903</v>
      </c>
      <c r="C9" s="10" t="n">
        <f aca="false">SUM(MODELL!N47:Y47)</f>
        <v>4293453.54466129</v>
      </c>
      <c r="D9" s="10" t="n">
        <f aca="false">SUM(MODELL!Z47:AK47)</f>
        <v>8082251.59769479</v>
      </c>
      <c r="E9" s="10" t="n">
        <f aca="false">SUM(MODELL!AL47:AW47)</f>
        <v>13225920.5868243</v>
      </c>
      <c r="F9" s="10" t="n">
        <f aca="false">SUM(MODELL!AX47:BI47)</f>
        <v>19306686.5100477</v>
      </c>
    </row>
    <row r="10" customFormat="false" ht="15" hidden="false" customHeight="true" outlineLevel="0" collapsed="false">
      <c r="A10" s="11" t="s">
        <v>11</v>
      </c>
      <c r="B10" s="12" t="n">
        <f aca="false">SUM(MODELL!B72:M72)</f>
        <v>291794.564492599</v>
      </c>
      <c r="C10" s="12" t="n">
        <f aca="false">SUM(MODELL!N72:Y72)</f>
        <v>1232909.45819366</v>
      </c>
      <c r="D10" s="12" t="n">
        <f aca="false">SUM(MODELL!Z72:AK72)</f>
        <v>2344075.99861269</v>
      </c>
      <c r="E10" s="12" t="n">
        <f aca="false">SUM(MODELL!AL72:AW72)</f>
        <v>4127472.5200131</v>
      </c>
      <c r="F10" s="12" t="n">
        <f aca="false">SUM(MODELL!AX72:BI72)</f>
        <v>6365853.89861058</v>
      </c>
    </row>
    <row r="11" customFormat="false" ht="15" hidden="false" customHeight="true" outlineLevel="0" collapsed="false">
      <c r="A11" s="11" t="s">
        <v>12</v>
      </c>
      <c r="B11" s="13" t="n">
        <f aca="false">SUM(MODELL!B72:M72)/SUM(MODELL!B47:M47)</f>
        <v>0.192331441765492</v>
      </c>
      <c r="C11" s="13" t="n">
        <f aca="false">SUM(MODELL!N72:Y72)/SUM(MODELL!N47:Y47)</f>
        <v>0.287160311709144</v>
      </c>
      <c r="D11" s="13" t="n">
        <f aca="false">SUM(MODELL!Z72:AK72)/SUM(MODELL!Z47:AK47)</f>
        <v>0.290027595686488</v>
      </c>
      <c r="E11" s="13" t="n">
        <f aca="false">SUM(MODELL!AL72:AW72)/SUM(MODELL!AL47:AW47)</f>
        <v>0.312074497417207</v>
      </c>
      <c r="F11" s="13" t="n">
        <f aca="false">SUM(MODELL!AX72:BI72)/SUM(MODELL!AX47:BI47)</f>
        <v>0.329722756688344</v>
      </c>
    </row>
    <row r="12" customFormat="false" ht="15" hidden="false" customHeight="true" outlineLevel="0" collapsed="false">
      <c r="A12" s="11" t="s">
        <v>13</v>
      </c>
      <c r="B12" s="12" t="n">
        <f aca="false">SUM(MODELL!B91:M91)</f>
        <v>918845.923369449</v>
      </c>
      <c r="C12" s="12" t="n">
        <f aca="false">SUM(MODELL!N91:Y91)</f>
        <v>924682.093645247</v>
      </c>
      <c r="D12" s="12" t="n">
        <f aca="false">SUM(MODELL!Z91:AK91)</f>
        <v>1758056.99895952</v>
      </c>
      <c r="E12" s="12" t="n">
        <f aca="false">SUM(MODELL!AL91:AW91)</f>
        <v>3095604.39000982</v>
      </c>
      <c r="F12" s="12" t="n">
        <f aca="false">SUM(MODELL!AX91:BI91)</f>
        <v>4774390.42395794</v>
      </c>
    </row>
    <row r="13" customFormat="false" ht="15" hidden="false" customHeight="true" outlineLevel="0" collapsed="false">
      <c r="A13" s="4" t="s">
        <v>14</v>
      </c>
      <c r="B13" s="10" t="n">
        <f aca="false">SUM(MODELL!B92:M92)</f>
        <v>-627051.35887685</v>
      </c>
      <c r="C13" s="10" t="n">
        <f aca="false">SUM(MODELL!N92:Y92)</f>
        <v>308227.364548416</v>
      </c>
      <c r="D13" s="10" t="n">
        <f aca="false">SUM(MODELL!Z92:AK92)</f>
        <v>586018.999653174</v>
      </c>
      <c r="E13" s="10" t="n">
        <f aca="false">SUM(MODELL!AL92:AW92)</f>
        <v>1031868.13000327</v>
      </c>
      <c r="F13" s="10" t="n">
        <f aca="false">SUM(MODELL!AX92:BI92)</f>
        <v>1591463.47465264</v>
      </c>
    </row>
    <row r="14" customFormat="false" ht="15" hidden="false" customHeight="true" outlineLevel="0" collapsed="false">
      <c r="A14" s="11" t="s">
        <v>15</v>
      </c>
      <c r="B14" s="12" t="n">
        <f aca="false">MODELL!M90</f>
        <v>447670.741328841</v>
      </c>
      <c r="C14" s="12" t="n">
        <f aca="false">MODELL!Y90</f>
        <v>1253115.20686973</v>
      </c>
      <c r="D14" s="12" t="n">
        <f aca="false">MODELL!AK90</f>
        <v>2950114.6505863</v>
      </c>
      <c r="E14" s="12" t="n">
        <f aca="false">MODELL!AW90</f>
        <v>5922548.31008589</v>
      </c>
      <c r="F14" s="12" t="n">
        <f aca="false">MODELL!BI90</f>
        <v>10846977.1056807</v>
      </c>
    </row>
    <row r="15" customFormat="false" ht="15" hidden="false" customHeight="true" outlineLevel="0" collapsed="false">
      <c r="A15" s="11" t="s">
        <v>16</v>
      </c>
      <c r="B15" s="12" t="n">
        <f aca="false">MIN(MODELL!B90:M90)</f>
        <v>447670.741328841</v>
      </c>
      <c r="C15" s="12" t="n">
        <f aca="false">MIN(MODELL!N90:Y90)</f>
        <v>594443.394695823</v>
      </c>
      <c r="D15" s="12" t="n">
        <f aca="false">MIN(MODELL!Z90:AK90)</f>
        <v>1617939.43577612</v>
      </c>
      <c r="E15" s="12" t="n">
        <f aca="false">MIN(MODELL!AL90:AW90)</f>
        <v>3699460.77900396</v>
      </c>
      <c r="F15" s="12" t="n">
        <f aca="false">MIN(MODELL!AX90:BI90)</f>
        <v>7132545.45800799</v>
      </c>
    </row>
    <row r="17" customFormat="false" ht="15" hidden="false" customHeight="true" outlineLevel="0" collapsed="false">
      <c r="A17" s="7" t="s">
        <v>17</v>
      </c>
      <c r="B17" s="8"/>
      <c r="C17" s="8"/>
      <c r="D17" s="8"/>
      <c r="E17" s="8"/>
      <c r="F17" s="8"/>
    </row>
    <row r="18" customFormat="false" ht="15" hidden="false" customHeight="true" outlineLevel="0" collapsed="false">
      <c r="A18" s="11" t="s">
        <v>18</v>
      </c>
    </row>
    <row r="19" customFormat="false" ht="15" hidden="false" customHeight="true" outlineLevel="0" collapsed="false">
      <c r="A19" s="11" t="s">
        <v>19</v>
      </c>
    </row>
    <row r="20" customFormat="false" ht="15" hidden="false" customHeight="true" outlineLevel="0" collapsed="false">
      <c r="A20" s="11" t="s">
        <v>20</v>
      </c>
    </row>
    <row r="21" customFormat="false" ht="15" hidden="false" customHeight="true" outlineLevel="0" collapsed="false">
      <c r="A21" s="11" t="s">
        <v>21</v>
      </c>
    </row>
    <row r="22" customFormat="false" ht="15" hidden="false" customHeight="true" outlineLevel="0" collapsed="false">
      <c r="A22" s="11" t="s">
        <v>22</v>
      </c>
    </row>
    <row r="23" customFormat="false" ht="15" hidden="false" customHeight="true" outlineLevel="0" collapsed="false">
      <c r="A23" s="7" t="s">
        <v>23</v>
      </c>
      <c r="B23" s="8"/>
      <c r="C23" s="8"/>
      <c r="D23" s="8"/>
      <c r="E23" s="8"/>
      <c r="F23" s="8"/>
    </row>
    <row r="24" customFormat="false" ht="15" hidden="false" customHeight="true" outlineLevel="0" collapsed="false">
      <c r="A24" s="11" t="s">
        <v>24</v>
      </c>
    </row>
    <row r="25" customFormat="false" ht="15" hidden="false" customHeight="true" outlineLevel="0" collapsed="false">
      <c r="A25" s="11" t="s">
        <v>25</v>
      </c>
    </row>
    <row r="26" customFormat="false" ht="15" hidden="false" customHeight="true" outlineLevel="0" collapsed="false">
      <c r="A26" s="11" t="s">
        <v>26</v>
      </c>
    </row>
    <row r="27" customFormat="false" ht="15" hidden="false" customHeight="true" outlineLevel="0" collapsed="false">
      <c r="A27" s="6"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2" min="2" style="1" width="125"/>
  </cols>
  <sheetData>
    <row r="1" customFormat="false" ht="15.75" hidden="false" customHeight="true" outlineLevel="0" collapsed="false">
      <c r="A1" s="14" t="s">
        <v>28</v>
      </c>
    </row>
    <row r="2" customFormat="false" ht="15" hidden="false" customHeight="true" outlineLevel="0" collapsed="false">
      <c r="A2" s="6" t="s">
        <v>29</v>
      </c>
    </row>
    <row r="4" customFormat="false" ht="15" hidden="false" customHeight="true" outlineLevel="0" collapsed="false">
      <c r="A4" s="15" t="s">
        <v>30</v>
      </c>
      <c r="B4" s="15" t="s">
        <v>31</v>
      </c>
    </row>
    <row r="5" customFormat="false" ht="15" hidden="false" customHeight="true" outlineLevel="0" collapsed="false">
      <c r="A5" s="16" t="s">
        <v>32</v>
      </c>
      <c r="B5" s="17" t="s">
        <v>33</v>
      </c>
    </row>
    <row r="6" customFormat="false" ht="30" hidden="false" customHeight="true" outlineLevel="0" collapsed="false">
      <c r="A6" s="16" t="s">
        <v>34</v>
      </c>
      <c r="B6" s="17" t="s">
        <v>35</v>
      </c>
    </row>
    <row r="7" customFormat="false" ht="30" hidden="false" customHeight="true" outlineLevel="0" collapsed="false">
      <c r="A7" s="16" t="s">
        <v>36</v>
      </c>
      <c r="B7" s="17" t="s">
        <v>37</v>
      </c>
    </row>
    <row r="8" customFormat="false" ht="30" hidden="false" customHeight="true" outlineLevel="0" collapsed="false">
      <c r="A8" s="16" t="s">
        <v>38</v>
      </c>
      <c r="B8" s="17" t="s">
        <v>39</v>
      </c>
    </row>
    <row r="9" customFormat="false" ht="30" hidden="false" customHeight="true" outlineLevel="0" collapsed="false">
      <c r="A9" s="16" t="s">
        <v>40</v>
      </c>
      <c r="B9" s="17" t="s">
        <v>41</v>
      </c>
    </row>
    <row r="10" customFormat="false" ht="45" hidden="false" customHeight="true" outlineLevel="0" collapsed="false">
      <c r="A10" s="16" t="s">
        <v>42</v>
      </c>
      <c r="B10" s="17" t="s">
        <v>43</v>
      </c>
    </row>
    <row r="11" customFormat="false" ht="30" hidden="false" customHeight="true" outlineLevel="0" collapsed="false">
      <c r="A11" s="16" t="s">
        <v>44</v>
      </c>
      <c r="B11" s="17" t="s">
        <v>45</v>
      </c>
    </row>
    <row r="12" customFormat="false" ht="30" hidden="false" customHeight="true" outlineLevel="0" collapsed="false">
      <c r="A12" s="16" t="s">
        <v>46</v>
      </c>
      <c r="B12" s="17" t="s">
        <v>47</v>
      </c>
    </row>
    <row r="13" customFormat="false" ht="60" hidden="false" customHeight="true" outlineLevel="0" collapsed="false">
      <c r="A13" s="16" t="s">
        <v>48</v>
      </c>
      <c r="B13" s="17" t="s">
        <v>49</v>
      </c>
    </row>
    <row r="14" customFormat="false" ht="30" hidden="false" customHeight="true" outlineLevel="0" collapsed="false">
      <c r="A14" s="16" t="s">
        <v>14</v>
      </c>
      <c r="B14" s="17" t="s">
        <v>50</v>
      </c>
    </row>
    <row r="15" customFormat="false" ht="30" hidden="false" customHeight="true" outlineLevel="0" collapsed="false">
      <c r="A15" s="16" t="s">
        <v>51</v>
      </c>
      <c r="B15" s="17" t="s">
        <v>52</v>
      </c>
    </row>
    <row r="16" customFormat="false" ht="75" hidden="false" customHeight="true" outlineLevel="0" collapsed="false">
      <c r="A16" s="16" t="s">
        <v>53</v>
      </c>
      <c r="B16" s="17" t="s">
        <v>54</v>
      </c>
    </row>
    <row r="17" customFormat="false" ht="21.75" hidden="false" customHeight="true" outlineLevel="0" collapsed="false">
      <c r="A17" s="18" t="s">
        <v>55</v>
      </c>
    </row>
    <row r="39" customFormat="false" ht="15" hidden="false" customHeight="true" outlineLevel="0" collapsed="false">
      <c r="A39" s="18" t="s">
        <v>56</v>
      </c>
    </row>
    <row r="65" customFormat="false" ht="15" hidden="false" customHeight="true" outlineLevel="0" collapsed="false">
      <c r="A65" s="19"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A6A"/>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15"/>
  </cols>
  <sheetData>
    <row r="1" customFormat="false" ht="15.75" hidden="false" customHeight="true" outlineLevel="0" collapsed="false">
      <c r="A1" s="14" t="s">
        <v>58</v>
      </c>
    </row>
    <row r="3" customFormat="false" ht="15" hidden="false" customHeight="true" outlineLevel="0" collapsed="false">
      <c r="B3" s="9" t="s">
        <v>5</v>
      </c>
      <c r="C3" s="9" t="s">
        <v>6</v>
      </c>
      <c r="D3" s="9" t="s">
        <v>7</v>
      </c>
      <c r="E3" s="9" t="s">
        <v>8</v>
      </c>
      <c r="F3" s="9" t="s">
        <v>9</v>
      </c>
    </row>
    <row r="4" customFormat="false" ht="15" hidden="false" customHeight="true" outlineLevel="0" collapsed="false">
      <c r="A4" s="4" t="s">
        <v>10</v>
      </c>
      <c r="B4" s="10" t="n">
        <f aca="false">GuV!B8</f>
        <v>1517144.37230903</v>
      </c>
      <c r="C4" s="10" t="n">
        <f aca="false">GuV!C8</f>
        <v>4293453.54466129</v>
      </c>
      <c r="D4" s="10" t="n">
        <f aca="false">GuV!D8</f>
        <v>8082251.59769479</v>
      </c>
      <c r="E4" s="10" t="n">
        <f aca="false">GuV!E8</f>
        <v>13225920.5868243</v>
      </c>
      <c r="F4" s="10" t="n">
        <f aca="false">GuV!F8</f>
        <v>19306686.5100477</v>
      </c>
    </row>
    <row r="5" customFormat="false" ht="15" hidden="false" customHeight="true" outlineLevel="0" collapsed="false">
      <c r="A5" s="11" t="s">
        <v>59</v>
      </c>
      <c r="C5" s="13" t="n">
        <f aca="false">C4/B4-1</f>
        <v>1.82995713725439</v>
      </c>
      <c r="D5" s="13" t="n">
        <f aca="false">D4/C4-1</f>
        <v>0.88245931011521</v>
      </c>
      <c r="E5" s="13" t="n">
        <f aca="false">E4/D4-1</f>
        <v>0.63641535121186</v>
      </c>
      <c r="F5" s="13" t="n">
        <f aca="false">F4/E4-1</f>
        <v>0.459761260723203</v>
      </c>
    </row>
    <row r="6" customFormat="false" ht="15" hidden="false" customHeight="true" outlineLevel="0" collapsed="false">
      <c r="A6" s="11" t="s">
        <v>11</v>
      </c>
      <c r="B6" s="12" t="n">
        <f aca="false">GuV!B20</f>
        <v>291794.564492599</v>
      </c>
      <c r="C6" s="12" t="n">
        <f aca="false">GuV!C20</f>
        <v>1232909.45819366</v>
      </c>
      <c r="D6" s="12" t="n">
        <f aca="false">GuV!D20</f>
        <v>2344075.99861269</v>
      </c>
      <c r="E6" s="12" t="n">
        <f aca="false">GuV!E20</f>
        <v>4127472.5200131</v>
      </c>
      <c r="F6" s="12" t="n">
        <f aca="false">GuV!F20</f>
        <v>6365853.89861058</v>
      </c>
    </row>
    <row r="7" customFormat="false" ht="15" hidden="false" customHeight="true" outlineLevel="0" collapsed="false">
      <c r="A7" s="11" t="s">
        <v>12</v>
      </c>
      <c r="B7" s="13" t="n">
        <f aca="false">GuV!B21</f>
        <v>0.192331441765492</v>
      </c>
      <c r="C7" s="13" t="n">
        <f aca="false">GuV!C21</f>
        <v>0.287160311709144</v>
      </c>
      <c r="D7" s="13" t="n">
        <f aca="false">GuV!D21</f>
        <v>0.290027595686488</v>
      </c>
      <c r="E7" s="13" t="n">
        <f aca="false">GuV!E21</f>
        <v>0.312074497417207</v>
      </c>
      <c r="F7" s="13" t="n">
        <f aca="false">GuV!F21</f>
        <v>0.329722756688344</v>
      </c>
    </row>
    <row r="8" customFormat="false" ht="15" hidden="false" customHeight="true" outlineLevel="0" collapsed="false">
      <c r="A8" s="11" t="s">
        <v>48</v>
      </c>
      <c r="B8" s="12" t="n">
        <f aca="false">-GuV!B23</f>
        <v>918845.923369449</v>
      </c>
      <c r="C8" s="12" t="n">
        <f aca="false">-GuV!C23</f>
        <v>924682.093645247</v>
      </c>
      <c r="D8" s="12" t="n">
        <f aca="false">-GuV!D23</f>
        <v>1758056.99895952</v>
      </c>
      <c r="E8" s="12" t="n">
        <f aca="false">-GuV!E23</f>
        <v>3095604.39000982</v>
      </c>
      <c r="F8" s="12" t="n">
        <f aca="false">-GuV!F23</f>
        <v>4774390.42395794</v>
      </c>
    </row>
    <row r="9" customFormat="false" ht="15" hidden="false" customHeight="true" outlineLevel="0" collapsed="false">
      <c r="A9" s="11" t="s">
        <v>60</v>
      </c>
      <c r="B9" s="12" t="n">
        <f aca="false">SUM(MODELL!B86:M86)</f>
        <v>700000</v>
      </c>
      <c r="C9" s="12" t="n">
        <f aca="false">SUM(MODELL!N86:Y86)</f>
        <v>0</v>
      </c>
      <c r="D9" s="12" t="n">
        <f aca="false">SUM(MODELL!Z86:AK86)</f>
        <v>0</v>
      </c>
      <c r="E9" s="12" t="n">
        <f aca="false">SUM(MODELL!AL86:AW86)</f>
        <v>0</v>
      </c>
      <c r="F9" s="12" t="n">
        <f aca="false">SUM(MODELL!AX86:BI86)</f>
        <v>0</v>
      </c>
    </row>
    <row r="10" customFormat="false" ht="15" hidden="false" customHeight="true" outlineLevel="0" collapsed="false">
      <c r="A10" s="11" t="s">
        <v>61</v>
      </c>
      <c r="B10" s="12" t="n">
        <f aca="false">SUM(MODELL!B89:M89)</f>
        <v>218845.923369449</v>
      </c>
      <c r="C10" s="12" t="n">
        <f aca="false">SUM(MODELL!N89:Y89)</f>
        <v>924682.093645247</v>
      </c>
      <c r="D10" s="12" t="n">
        <f aca="false">SUM(MODELL!Z89:AK89)</f>
        <v>1758056.99895952</v>
      </c>
      <c r="E10" s="12" t="n">
        <f aca="false">SUM(MODELL!AL89:AW89)</f>
        <v>3095604.39000982</v>
      </c>
      <c r="F10" s="12" t="n">
        <f aca="false">SUM(MODELL!AX89:BI89)</f>
        <v>4774390.42395794</v>
      </c>
    </row>
    <row r="11" customFormat="false" ht="15" hidden="false" customHeight="true" outlineLevel="0" collapsed="false">
      <c r="A11" s="4" t="s">
        <v>14</v>
      </c>
      <c r="B11" s="10" t="n">
        <f aca="false">GuV!B24</f>
        <v>-627051.35887685</v>
      </c>
      <c r="C11" s="10" t="n">
        <f aca="false">GuV!C24</f>
        <v>308227.364548416</v>
      </c>
      <c r="D11" s="10" t="n">
        <f aca="false">GuV!D24</f>
        <v>586018.999653173</v>
      </c>
      <c r="E11" s="10" t="n">
        <f aca="false">GuV!E24</f>
        <v>1031868.13000327</v>
      </c>
      <c r="F11" s="10" t="n">
        <f aca="false">GuV!F24</f>
        <v>1591463.47465264</v>
      </c>
    </row>
    <row r="12" customFormat="false" ht="15" hidden="false" customHeight="true" outlineLevel="0" collapsed="false">
      <c r="A12" s="11" t="s">
        <v>62</v>
      </c>
      <c r="B12" s="13" t="n">
        <f aca="false">GuV!B25</f>
        <v>-0.413310275753456</v>
      </c>
      <c r="C12" s="13" t="n">
        <f aca="false">GuV!C25</f>
        <v>0.0717900779272859</v>
      </c>
      <c r="D12" s="13" t="n">
        <f aca="false">GuV!D25</f>
        <v>0.0725068989216219</v>
      </c>
      <c r="E12" s="13" t="n">
        <f aca="false">GuV!E25</f>
        <v>0.0780186243543018</v>
      </c>
      <c r="F12" s="13" t="n">
        <f aca="false">GuV!F25</f>
        <v>0.082430689172086</v>
      </c>
    </row>
    <row r="13" customFormat="false" ht="15" hidden="false" customHeight="true" outlineLevel="0" collapsed="false">
      <c r="A13" s="11" t="s">
        <v>15</v>
      </c>
      <c r="B13" s="12" t="n">
        <f aca="false">CASH!B8</f>
        <v>447670.741328841</v>
      </c>
      <c r="C13" s="12" t="n">
        <f aca="false">CASH!C8</f>
        <v>1253115.20686973</v>
      </c>
      <c r="D13" s="12" t="n">
        <f aca="false">CASH!D8</f>
        <v>2950114.6505863</v>
      </c>
      <c r="E13" s="12" t="n">
        <f aca="false">CASH!E8</f>
        <v>5922548.31008589</v>
      </c>
      <c r="F13" s="12" t="n">
        <f aca="false">CASH!F8</f>
        <v>10846977.1056807</v>
      </c>
    </row>
    <row r="14" customFormat="false" ht="15" hidden="false" customHeight="true" outlineLevel="0" collapsed="false">
      <c r="A14" s="11" t="s">
        <v>16</v>
      </c>
      <c r="B14" s="12" t="n">
        <f aca="false">CASH!B9</f>
        <v>447670.741328841</v>
      </c>
      <c r="C14" s="12" t="n">
        <f aca="false">CASH!C9</f>
        <v>594443.394695823</v>
      </c>
      <c r="D14" s="12" t="n">
        <f aca="false">CASH!D9</f>
        <v>1617939.43577612</v>
      </c>
      <c r="E14" s="12" t="n">
        <f aca="false">CASH!E9</f>
        <v>3699460.77900396</v>
      </c>
      <c r="F14" s="12" t="n">
        <f aca="false">CASH!F9</f>
        <v>7132545.45800799</v>
      </c>
    </row>
    <row r="15" customFormat="false" ht="15" hidden="false" customHeight="true" outlineLevel="0" collapsed="false">
      <c r="A15" s="11" t="s">
        <v>63</v>
      </c>
      <c r="B15" s="12" t="n">
        <f aca="false">CASH!B10</f>
        <v>138520.548200871</v>
      </c>
      <c r="C15" s="12" t="n">
        <f aca="false">CASH!C10</f>
        <v>329425.995934775</v>
      </c>
      <c r="D15" s="12" t="n">
        <f aca="false">CASH!D10</f>
        <v>731758.727468904</v>
      </c>
      <c r="E15" s="12" t="n">
        <f aca="false">CASH!E10</f>
        <v>1087210.97977702</v>
      </c>
      <c r="F15" s="12" t="n">
        <f aca="false">CASH!F10</f>
        <v>1561525.01258239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3434"/>
    <pageSetUpPr fitToPage="false"/>
  </sheetPr>
  <dimension ref="A1:F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6" min="2" style="1" width="15"/>
  </cols>
  <sheetData>
    <row r="1" customFormat="false" ht="15.75" hidden="false" customHeight="true" outlineLevel="0" collapsed="false">
      <c r="A1" s="14" t="s">
        <v>64</v>
      </c>
    </row>
    <row r="2" customFormat="false" ht="15" hidden="false" customHeight="true" outlineLevel="0" collapsed="false">
      <c r="A2" s="6" t="s">
        <v>65</v>
      </c>
    </row>
    <row r="3" customFormat="false" ht="15" hidden="false" customHeight="true" outlineLevel="0" collapsed="false">
      <c r="B3" s="9" t="s">
        <v>5</v>
      </c>
      <c r="C3" s="9" t="s">
        <v>6</v>
      </c>
      <c r="D3" s="9" t="s">
        <v>7</v>
      </c>
      <c r="E3" s="9" t="s">
        <v>8</v>
      </c>
      <c r="F3" s="9" t="s">
        <v>9</v>
      </c>
    </row>
    <row r="4" customFormat="false" ht="15" hidden="false" customHeight="true" outlineLevel="0" collapsed="false">
      <c r="A4" s="11" t="s">
        <v>66</v>
      </c>
      <c r="B4" s="12" t="n">
        <f aca="false">SUM(MODELL!B28:M28)</f>
        <v>708463.488996991</v>
      </c>
      <c r="C4" s="12" t="n">
        <f aca="false">SUM(MODELL!N28:Y28)</f>
        <v>2260126.96870913</v>
      </c>
      <c r="D4" s="12" t="n">
        <f aca="false">SUM(MODELL!Z28:AK28)</f>
        <v>4311154.04590318</v>
      </c>
      <c r="E4" s="12" t="n">
        <f aca="false">SUM(MODELL!AL28:AW28)</f>
        <v>7121713.75677585</v>
      </c>
      <c r="F4" s="12" t="n">
        <f aca="false">SUM(MODELL!AX28:BI28)</f>
        <v>10505613.0988138</v>
      </c>
    </row>
    <row r="5" customFormat="false" ht="15" hidden="false" customHeight="true" outlineLevel="0" collapsed="false">
      <c r="A5" s="11" t="s">
        <v>67</v>
      </c>
      <c r="B5" s="12" t="n">
        <f aca="false">SUM(MODELL!B37:M37)</f>
        <v>510227.346590909</v>
      </c>
      <c r="C5" s="12" t="n">
        <f aca="false">SUM(MODELL!N37:Y37)</f>
        <v>1028228.57272727</v>
      </c>
      <c r="D5" s="12" t="n">
        <f aca="false">SUM(MODELL!Z37:AK37)</f>
        <v>1503074.76136364</v>
      </c>
      <c r="E5" s="12" t="n">
        <f aca="false">SUM(MODELL!AL37:AW37)</f>
        <v>2069228.07954545</v>
      </c>
      <c r="F5" s="12" t="n">
        <f aca="false">SUM(MODELL!AX37:BI37)</f>
        <v>2607988.09090909</v>
      </c>
    </row>
    <row r="6" customFormat="false" ht="15" hidden="false" customHeight="true" outlineLevel="0" collapsed="false">
      <c r="A6" s="11" t="s">
        <v>68</v>
      </c>
      <c r="B6" s="12" t="n">
        <f aca="false">SUM(MODELL!B41:M41)</f>
        <v>241244.545454545</v>
      </c>
      <c r="C6" s="12" t="n">
        <f aca="false">SUM(MODELL!N41:Y41)</f>
        <v>785094.545454545</v>
      </c>
      <c r="D6" s="12" t="n">
        <f aca="false">SUM(MODELL!Z41:AK41)</f>
        <v>1792063.63636364</v>
      </c>
      <c r="E6" s="12" t="n">
        <f aca="false">SUM(MODELL!AL41:AW41)</f>
        <v>3263100</v>
      </c>
      <c r="F6" s="12" t="n">
        <f aca="false">SUM(MODELL!AX41:BI41)</f>
        <v>5124245.45454545</v>
      </c>
    </row>
    <row r="7" customFormat="false" ht="15" hidden="false" customHeight="true" outlineLevel="0" collapsed="false">
      <c r="A7" s="11" t="s">
        <v>69</v>
      </c>
      <c r="B7" s="12" t="n">
        <f aca="false">SUM(MODELL!B45:M45)</f>
        <v>57208.9912665888</v>
      </c>
      <c r="C7" s="12" t="n">
        <f aca="false">SUM(MODELL!N45:Y45)</f>
        <v>220003.457770341</v>
      </c>
      <c r="D7" s="12" t="n">
        <f aca="false">SUM(MODELL!Z45:AK45)</f>
        <v>475959.154064342</v>
      </c>
      <c r="E7" s="12" t="n">
        <f aca="false">SUM(MODELL!AL45:AW45)</f>
        <v>771878.750503027</v>
      </c>
      <c r="F7" s="12" t="n">
        <f aca="false">SUM(MODELL!AX45:BI45)</f>
        <v>1068839.86577934</v>
      </c>
    </row>
    <row r="8" customFormat="false" ht="15" hidden="false" customHeight="true" outlineLevel="0" collapsed="false">
      <c r="A8" s="4" t="s">
        <v>10</v>
      </c>
      <c r="B8" s="10" t="n">
        <f aca="false">B4+B5+B6+B7</f>
        <v>1517144.37230903</v>
      </c>
      <c r="C8" s="10" t="n">
        <f aca="false">C4+C5+C6+C7</f>
        <v>4293453.54466129</v>
      </c>
      <c r="D8" s="10" t="n">
        <f aca="false">D4+D5+D6+D7</f>
        <v>8082251.59769479</v>
      </c>
      <c r="E8" s="10" t="n">
        <f aca="false">E4+E5+E6+E7</f>
        <v>13225920.5868243</v>
      </c>
      <c r="F8" s="10" t="n">
        <f aca="false">F4+F5+F6+F7</f>
        <v>19306686.5100477</v>
      </c>
    </row>
    <row r="10" customFormat="false" ht="15" hidden="false" customHeight="true" outlineLevel="0" collapsed="false">
      <c r="A10" s="11" t="s">
        <v>70</v>
      </c>
      <c r="B10" s="12" t="n">
        <f aca="false">-SUM(MODELL!B50:M50)</f>
        <v>-568965.223554467</v>
      </c>
      <c r="C10" s="12" t="n">
        <f aca="false">-SUM(MODELL!N50:Y50)</f>
        <v>-1679342.26286987</v>
      </c>
      <c r="D10" s="12" t="n">
        <f aca="false">-SUM(MODELL!Z50:AK50)</f>
        <v>-3468888.36265927</v>
      </c>
      <c r="E10" s="12" t="n">
        <f aca="false">-SUM(MODELL!AL50:AW50)</f>
        <v>-5686056.39740917</v>
      </c>
      <c r="F10" s="12" t="n">
        <f aca="false">-SUM(MODELL!AX50:BI50)</f>
        <v>-8319574.92465572</v>
      </c>
    </row>
    <row r="11" customFormat="false" ht="15" hidden="false" customHeight="true" outlineLevel="0" collapsed="false">
      <c r="A11" s="11" t="s">
        <v>71</v>
      </c>
      <c r="B11" s="12" t="n">
        <f aca="false">-SUM(MODELL!B51:M51)</f>
        <v>-79307.7914052019</v>
      </c>
      <c r="C11" s="12" t="n">
        <f aca="false">-SUM(MODELL!N51:Y51)</f>
        <v>-230293.684950089</v>
      </c>
      <c r="D11" s="12" t="n">
        <f aca="false">-SUM(MODELL!Z51:AK51)</f>
        <v>-409779.854573057</v>
      </c>
      <c r="E11" s="12" t="n">
        <f aca="false">-SUM(MODELL!AL51:AW51)</f>
        <v>-679669.238694907</v>
      </c>
      <c r="F11" s="12" t="n">
        <f aca="false">-SUM(MODELL!AX51:BI51)</f>
        <v>-1002413.19272213</v>
      </c>
    </row>
    <row r="12" customFormat="false" ht="15" hidden="false" customHeight="true" outlineLevel="0" collapsed="false">
      <c r="A12" s="11" t="s">
        <v>72</v>
      </c>
      <c r="B12" s="12" t="n">
        <f aca="false">-SUM(MODELL!B52:M52)</f>
        <v>-12564</v>
      </c>
      <c r="C12" s="12" t="n">
        <f aca="false">-SUM(MODELL!N52:Y52)</f>
        <v>-34036</v>
      </c>
      <c r="D12" s="12" t="n">
        <f aca="false">-SUM(MODELL!Z52:AK52)</f>
        <v>-74316</v>
      </c>
      <c r="E12" s="12" t="n">
        <f aca="false">-SUM(MODELL!AL52:AW52)</f>
        <v>-120988</v>
      </c>
      <c r="F12" s="12" t="n">
        <f aca="false">-SUM(MODELL!AX52:BI52)</f>
        <v>-176256</v>
      </c>
    </row>
    <row r="13" customFormat="false" ht="15" hidden="false" customHeight="true" outlineLevel="0" collapsed="false">
      <c r="A13" s="11" t="s">
        <v>73</v>
      </c>
      <c r="B13" s="12" t="n">
        <f aca="false">-SUM(MODELL!B54:M54)</f>
        <v>-38404.5013993862</v>
      </c>
      <c r="C13" s="12" t="n">
        <f aca="false">-SUM(MODELL!N54:Y54)</f>
        <v>-46876.8435043069</v>
      </c>
      <c r="D13" s="12" t="n">
        <f aca="false">-SUM(MODELL!Z54:AK54)</f>
        <v>-90540.9085882524</v>
      </c>
      <c r="E13" s="12" t="n">
        <f aca="false">-SUM(MODELL!AL54:AW54)</f>
        <v>-136308.67732303</v>
      </c>
      <c r="F13" s="12" t="n">
        <f aca="false">-SUM(MODELL!AX54:BI54)</f>
        <v>-181397.932032479</v>
      </c>
    </row>
    <row r="14" customFormat="false" ht="15" hidden="false" customHeight="true" outlineLevel="0" collapsed="false">
      <c r="A14" s="11" t="s">
        <v>74</v>
      </c>
      <c r="B14" s="12" t="n">
        <f aca="false">-SUM(MODELL!B56:M56)</f>
        <v>-23108.2914573797</v>
      </c>
      <c r="C14" s="12" t="n">
        <f aca="false">-SUM(MODELL!N56:Y56)</f>
        <v>-59593.4919734356</v>
      </c>
      <c r="D14" s="12" t="n">
        <f aca="false">-SUM(MODELL!Z56:AK56)</f>
        <v>-110416.699296101</v>
      </c>
      <c r="E14" s="12" t="n">
        <f aca="false">-SUM(MODELL!AL56:AW56)</f>
        <v>-179036.944581764</v>
      </c>
      <c r="F14" s="12" t="n">
        <f aca="false">-SUM(MODELL!AX56:BI56)</f>
        <v>-258590.264376042</v>
      </c>
    </row>
    <row r="15" customFormat="false" ht="15" hidden="false" customHeight="true" outlineLevel="0" collapsed="false">
      <c r="A15" s="11" t="s">
        <v>75</v>
      </c>
      <c r="B15" s="12" t="n">
        <f aca="false">-SUM(MODELL!B64:M64)</f>
        <v>-236000</v>
      </c>
      <c r="C15" s="12" t="n">
        <f aca="false">-SUM(MODELL!N64:Y64)</f>
        <v>-415401.803169919</v>
      </c>
      <c r="D15" s="12" t="n">
        <f aca="false">-SUM(MODELL!Z64:AK64)</f>
        <v>-629233.773965422</v>
      </c>
      <c r="E15" s="12" t="n">
        <f aca="false">-SUM(MODELL!AL64:AW64)</f>
        <v>-846388.808802365</v>
      </c>
      <c r="F15" s="12" t="n">
        <f aca="false">-SUM(MODELL!AX64:BI64)</f>
        <v>-1022600.29765072</v>
      </c>
    </row>
    <row r="16" customFormat="false" ht="15" hidden="false" customHeight="true" outlineLevel="0" collapsed="false">
      <c r="A16" s="11" t="s">
        <v>76</v>
      </c>
      <c r="B16" s="12" t="n">
        <f aca="false">-SUM(MODELL!B8:M8)</f>
        <v>-120000</v>
      </c>
      <c r="C16" s="12" t="n">
        <f aca="false">-SUM(MODELL!N8:Y8)</f>
        <v>-300000</v>
      </c>
      <c r="D16" s="12" t="n">
        <f aca="false">-SUM(MODELL!Z8:AK8)</f>
        <v>-500000</v>
      </c>
      <c r="E16" s="12" t="n">
        <f aca="false">-SUM(MODELL!AL8:AW8)</f>
        <v>-800000</v>
      </c>
      <c r="F16" s="12" t="n">
        <f aca="false">-SUM(MODELL!AX8:BI8)</f>
        <v>-1100000</v>
      </c>
    </row>
    <row r="17" customFormat="false" ht="15" hidden="false" customHeight="true" outlineLevel="0" collapsed="false">
      <c r="A17" s="11" t="s">
        <v>77</v>
      </c>
      <c r="B17" s="12" t="n">
        <f aca="false">-SUM(MODELL!B65:M65)</f>
        <v>-92000</v>
      </c>
      <c r="C17" s="12" t="n">
        <f aca="false">-SUM(MODELL!N65:Y65)</f>
        <v>-185000</v>
      </c>
      <c r="D17" s="12" t="n">
        <f aca="false">-SUM(MODELL!Z65:AK65)</f>
        <v>-315000</v>
      </c>
      <c r="E17" s="12" t="n">
        <f aca="false">-SUM(MODELL!AL65:AW65)</f>
        <v>-470000</v>
      </c>
      <c r="F17" s="12" t="n">
        <f aca="false">-SUM(MODELL!AX65:BI65)</f>
        <v>-650000</v>
      </c>
    </row>
    <row r="18" customFormat="false" ht="15" hidden="false" customHeight="true" outlineLevel="0" collapsed="false">
      <c r="A18" s="11" t="s">
        <v>78</v>
      </c>
      <c r="B18" s="12" t="n">
        <f aca="false">-SUM(MODELL!B66:M66)</f>
        <v>-20000</v>
      </c>
      <c r="C18" s="12" t="n">
        <f aca="false">-SUM(MODELL!N66:Y66)</f>
        <v>-50000</v>
      </c>
      <c r="D18" s="12" t="n">
        <f aca="false">-SUM(MODELL!Z66:AK66)</f>
        <v>-80000</v>
      </c>
      <c r="E18" s="12" t="n">
        <f aca="false">-SUM(MODELL!AL66:AW66)</f>
        <v>-120000</v>
      </c>
      <c r="F18" s="12" t="n">
        <f aca="false">-SUM(MODELL!AX66:BI66)</f>
        <v>-170000</v>
      </c>
    </row>
    <row r="19" customFormat="false" ht="15" hidden="false" customHeight="true" outlineLevel="0" collapsed="false">
      <c r="A19" s="11" t="s">
        <v>79</v>
      </c>
      <c r="B19" s="12" t="n">
        <f aca="false">-SUM(MODELL!B71:M71)</f>
        <v>-35000</v>
      </c>
      <c r="C19" s="12" t="n">
        <f aca="false">-SUM(MODELL!N71:Y71)</f>
        <v>-60000</v>
      </c>
      <c r="D19" s="12" t="n">
        <f aca="false">-SUM(MODELL!Z71:AK71)</f>
        <v>-60000</v>
      </c>
      <c r="E19" s="12" t="n">
        <f aca="false">-SUM(MODELL!AL71:AW71)</f>
        <v>-60000</v>
      </c>
      <c r="F19" s="12" t="n">
        <f aca="false">-SUM(MODELL!AX71:BI71)</f>
        <v>-60000</v>
      </c>
    </row>
    <row r="20" customFormat="false" ht="15" hidden="false" customHeight="true" outlineLevel="0" collapsed="false">
      <c r="A20" s="4" t="s">
        <v>11</v>
      </c>
      <c r="B20" s="10" t="n">
        <f aca="false">B8+SUM(B10:B19)</f>
        <v>291794.564492599</v>
      </c>
      <c r="C20" s="10" t="n">
        <f aca="false">C8+SUM(C10:C19)</f>
        <v>1232909.45819366</v>
      </c>
      <c r="D20" s="10" t="n">
        <f aca="false">D8+SUM(D10:D19)</f>
        <v>2344075.99861269</v>
      </c>
      <c r="E20" s="10" t="n">
        <f aca="false">E8+SUM(E10:E19)</f>
        <v>4127472.5200131</v>
      </c>
      <c r="F20" s="10" t="n">
        <f aca="false">F8+SUM(F10:F19)</f>
        <v>6365853.89861058</v>
      </c>
    </row>
    <row r="21" customFormat="false" ht="15" hidden="false" customHeight="true" outlineLevel="0" collapsed="false">
      <c r="A21" s="11" t="s">
        <v>12</v>
      </c>
      <c r="B21" s="13" t="n">
        <f aca="false">B20/B8</f>
        <v>0.192331441765492</v>
      </c>
      <c r="C21" s="13" t="n">
        <f aca="false">C20/C8</f>
        <v>0.287160311709144</v>
      </c>
      <c r="D21" s="13" t="n">
        <f aca="false">D20/D8</f>
        <v>0.290027595686488</v>
      </c>
      <c r="E21" s="13" t="n">
        <f aca="false">E20/E8</f>
        <v>0.312074497417207</v>
      </c>
      <c r="F21" s="13" t="n">
        <f aca="false">F20/F8</f>
        <v>0.329722756688344</v>
      </c>
    </row>
    <row r="23" customFormat="false" ht="15" hidden="false" customHeight="true" outlineLevel="0" collapsed="false">
      <c r="A23" s="11" t="s">
        <v>13</v>
      </c>
      <c r="B23" s="12" t="n">
        <f aca="false">-SUM(MODELL!B91:M91)</f>
        <v>-918845.923369449</v>
      </c>
      <c r="C23" s="12" t="n">
        <f aca="false">-SUM(MODELL!N91:Y91)</f>
        <v>-924682.093645247</v>
      </c>
      <c r="D23" s="12" t="n">
        <f aca="false">-SUM(MODELL!Z91:AK91)</f>
        <v>-1758056.99895952</v>
      </c>
      <c r="E23" s="12" t="n">
        <f aca="false">-SUM(MODELL!AL91:AW91)</f>
        <v>-3095604.39000982</v>
      </c>
      <c r="F23" s="12" t="n">
        <f aca="false">-SUM(MODELL!AX91:BI91)</f>
        <v>-4774390.42395794</v>
      </c>
    </row>
    <row r="24" customFormat="false" ht="15" hidden="false" customHeight="true" outlineLevel="0" collapsed="false">
      <c r="A24" s="4" t="s">
        <v>14</v>
      </c>
      <c r="B24" s="10" t="n">
        <f aca="false">B20+B23</f>
        <v>-627051.35887685</v>
      </c>
      <c r="C24" s="10" t="n">
        <f aca="false">C20+C23</f>
        <v>308227.364548416</v>
      </c>
      <c r="D24" s="10" t="n">
        <f aca="false">D20+D23</f>
        <v>586018.999653173</v>
      </c>
      <c r="E24" s="10" t="n">
        <f aca="false">E20+E23</f>
        <v>1031868.13000327</v>
      </c>
      <c r="F24" s="10" t="n">
        <f aca="false">F20+F23</f>
        <v>1591463.47465264</v>
      </c>
    </row>
    <row r="25" customFormat="false" ht="15" hidden="false" customHeight="true" outlineLevel="0" collapsed="false">
      <c r="A25" s="11" t="s">
        <v>62</v>
      </c>
      <c r="B25" s="13" t="n">
        <f aca="false">B24/B8</f>
        <v>-0.413310275753456</v>
      </c>
      <c r="C25" s="13" t="n">
        <f aca="false">C24/C8</f>
        <v>0.0717900779272859</v>
      </c>
      <c r="D25" s="13" t="n">
        <f aca="false">D24/D8</f>
        <v>0.0725068989216219</v>
      </c>
      <c r="E25" s="13" t="n">
        <f aca="false">E24/E8</f>
        <v>0.0780186243543018</v>
      </c>
      <c r="F25" s="13" t="n">
        <f aca="false">F24/F8</f>
        <v>0.082430689172086</v>
      </c>
    </row>
    <row r="27" customFormat="false" ht="15" hidden="false" customHeight="true" outlineLevel="0" collapsed="false">
      <c r="A27" s="20" t="s">
        <v>80</v>
      </c>
      <c r="B27" s="21"/>
      <c r="C27" s="21"/>
      <c r="D27" s="21"/>
      <c r="E27" s="21"/>
      <c r="F27" s="21"/>
    </row>
    <row r="28" customFormat="false" ht="15" hidden="false" customHeight="true" outlineLevel="0" collapsed="false">
      <c r="A28" s="6" t="s">
        <v>81</v>
      </c>
      <c r="B28" s="22" t="n">
        <f aca="false">SUM(MODELL!B36:M36)</f>
        <v>401282.005681818</v>
      </c>
      <c r="C28" s="22" t="n">
        <f aca="false">SUM(MODELL!N36:Y36)</f>
        <v>945306.913636364</v>
      </c>
      <c r="D28" s="22" t="n">
        <f aca="false">SUM(MODELL!Z36:AK36)</f>
        <v>1359924.78409091</v>
      </c>
      <c r="E28" s="22" t="n">
        <f aca="false">SUM(MODELL!AL36:AW36)</f>
        <v>1872158.73863636</v>
      </c>
      <c r="F28" s="22" t="n">
        <f aca="false">SUM(MODELL!AX36:BI36)</f>
        <v>2359608.27272727</v>
      </c>
    </row>
    <row r="29" customFormat="false" ht="15" hidden="false" customHeight="true" outlineLevel="0" collapsed="false">
      <c r="A29" s="6" t="s">
        <v>82</v>
      </c>
      <c r="B29" s="22" t="n">
        <f aca="false">SUM(MODELL!B35:M35)</f>
        <v>108945.340909091</v>
      </c>
      <c r="C29" s="22" t="n">
        <f aca="false">SUM(MODELL!N35:Y35)</f>
        <v>82921.6590909091</v>
      </c>
      <c r="D29" s="22" t="n">
        <f aca="false">SUM(MODELL!Z35:AK35)</f>
        <v>143149.977272727</v>
      </c>
      <c r="E29" s="22" t="n">
        <f aca="false">SUM(MODELL!AL35:AW35)</f>
        <v>197069.340909091</v>
      </c>
      <c r="F29" s="22" t="n">
        <f aca="false">SUM(MODELL!AX35:BI35)</f>
        <v>248379.818181818</v>
      </c>
    </row>
    <row r="30" customFormat="false" ht="15" hidden="false" customHeight="true" outlineLevel="0" collapsed="false">
      <c r="A30" s="6" t="s">
        <v>83</v>
      </c>
      <c r="B30" s="22" t="n">
        <f aca="false">-B29*INPUT!$B$40</f>
        <v>-32683.6022727273</v>
      </c>
      <c r="C30" s="22" t="n">
        <f aca="false">-C29*INPUT!$B$40</f>
        <v>-24876.4977272727</v>
      </c>
      <c r="D30" s="22" t="n">
        <f aca="false">-D29*INPUT!$B$40</f>
        <v>-42944.9931818182</v>
      </c>
      <c r="E30" s="22" t="n">
        <f aca="false">-E29*INPUT!$B$40</f>
        <v>-59120.8022727273</v>
      </c>
      <c r="F30" s="22" t="n">
        <f aca="false">-F29*INPUT!$B$40</f>
        <v>-74513.9454545455</v>
      </c>
    </row>
    <row r="31" customFormat="false" ht="15" hidden="false" customHeight="true" outlineLevel="0" collapsed="false">
      <c r="A31" s="6" t="s">
        <v>84</v>
      </c>
      <c r="B31" s="22" t="n">
        <f aca="false">-B7*INPUT!$B$41</f>
        <v>-5720.89912665888</v>
      </c>
      <c r="C31" s="22" t="n">
        <f aca="false">-C7*INPUT!$B$41</f>
        <v>-22000.3457770341</v>
      </c>
      <c r="D31" s="22" t="n">
        <f aca="false">-D7*INPUT!$B$41</f>
        <v>-47595.9154064342</v>
      </c>
      <c r="E31" s="22" t="n">
        <f aca="false">-E7*INPUT!$B$41</f>
        <v>-77187.8750503027</v>
      </c>
      <c r="F31" s="22" t="n">
        <f aca="false">-F7*INPUT!$B$41</f>
        <v>-106883.986577934</v>
      </c>
    </row>
    <row r="32" customFormat="false" ht="15" hidden="false" customHeight="true" outlineLevel="0" collapsed="false">
      <c r="A32" s="6" t="s">
        <v>85</v>
      </c>
      <c r="B32" s="22" t="n">
        <f aca="false">UMSATZBRÜCKE!B11+UMSATZBRÜCKE!B24</f>
        <v>345975.835227273</v>
      </c>
      <c r="C32" s="22" t="n">
        <f aca="false">UMSATZBRÜCKE!C11+UMSATZBRÜCKE!C24</f>
        <v>1153600.97272727</v>
      </c>
      <c r="D32" s="22" t="n">
        <f aca="false">UMSATZBRÜCKE!D11+UMSATZBRÜCKE!D24</f>
        <v>3151988.42045455</v>
      </c>
      <c r="E32" s="22" t="n">
        <f aca="false">UMSATZBRÜCKE!E11+UMSATZBRÜCKE!E24</f>
        <v>5135258.73863636</v>
      </c>
      <c r="F32" s="22" t="n">
        <f aca="false">UMSATZBRÜCKE!F11+UMSATZBRÜCKE!F24</f>
        <v>7483853.72727273</v>
      </c>
    </row>
    <row r="33" customFormat="false" ht="15" hidden="false" customHeight="true" outlineLevel="0" collapsed="false">
      <c r="A33" s="6" t="s">
        <v>86</v>
      </c>
      <c r="B33" s="22" t="n">
        <f aca="false">UMSATZBRÜCKE!B39</f>
        <v>1863120.20753631</v>
      </c>
      <c r="C33" s="22" t="n">
        <f aca="false">UMSATZBRÜCKE!C39</f>
        <v>5447054.51738856</v>
      </c>
      <c r="D33" s="22" t="n">
        <f aca="false">UMSATZBRÜCKE!D39</f>
        <v>11234240.0181493</v>
      </c>
      <c r="E33" s="22" t="n">
        <f aca="false">UMSATZBRÜCKE!E39</f>
        <v>18361179.3254607</v>
      </c>
      <c r="F33" s="22" t="n">
        <f aca="false">UMSATZBRÜCKE!F39</f>
        <v>26790540.2373204</v>
      </c>
    </row>
    <row r="34" customFormat="false" ht="15" hidden="false" customHeight="true" outlineLevel="0" collapsed="false">
      <c r="A34" s="6" t="s">
        <v>87</v>
      </c>
      <c r="B34" s="23" t="n">
        <f aca="false">IF(B33=0,0,B8/B33)</f>
        <v>0.814302998900553</v>
      </c>
      <c r="C34" s="23" t="n">
        <f aca="false">IF(C33=0,0,C8/C33)</f>
        <v>0.788215636718038</v>
      </c>
      <c r="D34" s="23" t="n">
        <f aca="false">IF(D33=0,0,D8/D33)</f>
        <v>0.719430204859217</v>
      </c>
      <c r="E34" s="23" t="n">
        <f aca="false">IF(E33=0,0,E8/E33)</f>
        <v>0.720319776436391</v>
      </c>
      <c r="F34" s="23" t="n">
        <f aca="false">IF(F33=0,0,F8/F33)</f>
        <v>0.720653123790039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0"/>
    <col collapsed="false" customWidth="true" hidden="false" outlineLevel="0" max="7" min="2" style="1" width="14"/>
  </cols>
  <sheetData>
    <row r="1" customFormat="false" ht="15.75" hidden="false" customHeight="true" outlineLevel="0" collapsed="false">
      <c r="A1" s="14" t="s">
        <v>88</v>
      </c>
    </row>
    <row r="2" customFormat="false" ht="36" hidden="false" customHeight="true" outlineLevel="0" collapsed="false">
      <c r="A2" s="24" t="s">
        <v>89</v>
      </c>
      <c r="B2" s="24"/>
      <c r="C2" s="24"/>
      <c r="D2" s="24"/>
      <c r="E2" s="24"/>
      <c r="F2" s="24"/>
      <c r="G2" s="24"/>
    </row>
    <row r="4" customFormat="false" ht="30" hidden="false" customHeight="true" outlineLevel="0" collapsed="false">
      <c r="A4" s="15"/>
      <c r="B4" s="25" t="s">
        <v>5</v>
      </c>
      <c r="C4" s="25" t="s">
        <v>6</v>
      </c>
      <c r="D4" s="25" t="s">
        <v>7</v>
      </c>
      <c r="E4" s="25" t="s">
        <v>8</v>
      </c>
      <c r="F4" s="25" t="s">
        <v>9</v>
      </c>
      <c r="G4" s="25" t="s">
        <v>90</v>
      </c>
    </row>
    <row r="5" customFormat="false" ht="15" hidden="false" customHeight="true" outlineLevel="0" collapsed="false">
      <c r="A5" s="20" t="s">
        <v>91</v>
      </c>
      <c r="B5" s="21"/>
      <c r="C5" s="21"/>
      <c r="D5" s="21"/>
      <c r="E5" s="21"/>
      <c r="F5" s="21"/>
      <c r="G5" s="21"/>
    </row>
    <row r="6" customFormat="false" ht="15" hidden="false" customHeight="true" outlineLevel="0" collapsed="false">
      <c r="A6" s="11" t="s">
        <v>92</v>
      </c>
      <c r="B6" s="26" t="n">
        <f aca="false">SUM(MODELL!B33:M33)</f>
        <v>5112.5</v>
      </c>
      <c r="C6" s="26" t="n">
        <f aca="false">SUM(MODELL!N33:Y33)</f>
        <v>11612.5</v>
      </c>
      <c r="D6" s="26" t="n">
        <f aca="false">SUM(MODELL!Z33:AK33)</f>
        <v>19987.5</v>
      </c>
      <c r="E6" s="26" t="n">
        <f aca="false">SUM(MODELL!AL33:AW33)</f>
        <v>27437.5</v>
      </c>
      <c r="F6" s="26" t="n">
        <f aca="false">SUM(MODELL!AX33:BI33)</f>
        <v>34500</v>
      </c>
      <c r="G6" s="26" t="n">
        <f aca="false">SUM(B6:F6)</f>
        <v>98650</v>
      </c>
    </row>
    <row r="7" customFormat="false" ht="15" hidden="false" customHeight="true" outlineLevel="0" collapsed="false">
      <c r="A7" s="11" t="s">
        <v>93</v>
      </c>
      <c r="B7" s="26" t="n">
        <f aca="false">SUM(MODELL!B32:M32)</f>
        <v>3097.5</v>
      </c>
      <c r="C7" s="26" t="n">
        <f aca="false">SUM(MODELL!N32:Y32)</f>
        <v>7834.5</v>
      </c>
      <c r="D7" s="26" t="n">
        <f aca="false">SUM(MODELL!Z32:AK32)</f>
        <v>14263.5</v>
      </c>
      <c r="E7" s="26" t="n">
        <f aca="false">SUM(MODELL!AL32:AW32)</f>
        <v>20611.5</v>
      </c>
      <c r="F7" s="26" t="n">
        <f aca="false">SUM(MODELL!AX32:BI32)</f>
        <v>26988</v>
      </c>
      <c r="G7" s="26" t="n">
        <f aca="false">SUM(B7:F7)</f>
        <v>72795</v>
      </c>
    </row>
    <row r="8" customFormat="false" ht="15" hidden="false" customHeight="true" outlineLevel="0" collapsed="false">
      <c r="A8" s="4" t="s">
        <v>94</v>
      </c>
      <c r="B8" s="10" t="n">
        <f aca="false">B6*INPUT!$B$10+B7*INPUT!$B$16</f>
        <v>726302.272727273</v>
      </c>
      <c r="C8" s="10" t="n">
        <f aca="false">C6*INPUT!$B$10+C7*INPUT!$B$16</f>
        <v>1658433.18181818</v>
      </c>
      <c r="D8" s="10" t="n">
        <f aca="false">D6*INPUT!$B$10+D7*INPUT!$B$16</f>
        <v>2862999.54545455</v>
      </c>
      <c r="E8" s="10" t="n">
        <f aca="false">E6*INPUT!$B$10+E7*INPUT!$B$16</f>
        <v>3941386.81818182</v>
      </c>
      <c r="F8" s="10" t="n">
        <f aca="false">F6*INPUT!$B$10+F7*INPUT!$B$16</f>
        <v>4967596.36363636</v>
      </c>
      <c r="G8" s="10" t="n">
        <f aca="false">SUM(B8:F8)</f>
        <v>14156718.1818182</v>
      </c>
    </row>
    <row r="9" customFormat="false" ht="15" hidden="false" customHeight="true" outlineLevel="0" collapsed="false">
      <c r="A9" s="6" t="s">
        <v>95</v>
      </c>
      <c r="B9" s="22" t="n">
        <f aca="false">SUM(MODELL!B35:M35)</f>
        <v>108945.340909091</v>
      </c>
      <c r="C9" s="22" t="n">
        <f aca="false">SUM(MODELL!N35:Y35)</f>
        <v>82921.6590909091</v>
      </c>
      <c r="D9" s="22" t="n">
        <f aca="false">SUM(MODELL!Z35:AK35)</f>
        <v>143149.977272727</v>
      </c>
      <c r="E9" s="22" t="n">
        <f aca="false">SUM(MODELL!AL35:AW35)</f>
        <v>197069.340909091</v>
      </c>
      <c r="F9" s="22" t="n">
        <f aca="false">SUM(MODELL!AX35:BI35)</f>
        <v>248379.818181818</v>
      </c>
      <c r="G9" s="22" t="n">
        <f aca="false">SUM(B9:F9)</f>
        <v>780466.136363636</v>
      </c>
    </row>
    <row r="10" customFormat="false" ht="15" hidden="false" customHeight="true" outlineLevel="0" collapsed="false">
      <c r="A10" s="6" t="s">
        <v>96</v>
      </c>
      <c r="B10" s="22" t="n">
        <f aca="false">B8-B9</f>
        <v>617356.931818182</v>
      </c>
      <c r="C10" s="22" t="n">
        <f aca="false">C8-C9</f>
        <v>1575511.52272727</v>
      </c>
      <c r="D10" s="22" t="n">
        <f aca="false">D8-D9</f>
        <v>2719849.56818182</v>
      </c>
      <c r="E10" s="22" t="n">
        <f aca="false">E8-E9</f>
        <v>3744317.47727273</v>
      </c>
      <c r="F10" s="22" t="n">
        <f aca="false">F8-F9</f>
        <v>4719216.54545455</v>
      </c>
      <c r="G10" s="22" t="n">
        <f aca="false">SUM(B10:F10)</f>
        <v>13376252.0454545</v>
      </c>
    </row>
    <row r="11" customFormat="false" ht="15" hidden="false" customHeight="true" outlineLevel="0" collapsed="false">
      <c r="A11" s="11" t="s">
        <v>97</v>
      </c>
      <c r="B11" s="26" t="n">
        <f aca="false">B10-SUM(MODELL!B36:M36)</f>
        <v>216074.926136364</v>
      </c>
      <c r="C11" s="26" t="n">
        <f aca="false">C10-SUM(MODELL!N36:Y36)</f>
        <v>630204.609090909</v>
      </c>
      <c r="D11" s="26" t="n">
        <f aca="false">D10-SUM(MODELL!Z36:AK36)</f>
        <v>1359924.78409091</v>
      </c>
      <c r="E11" s="26" t="n">
        <f aca="false">E10-SUM(MODELL!AL36:AW36)</f>
        <v>1872158.73863636</v>
      </c>
      <c r="F11" s="26" t="n">
        <f aca="false">F10-SUM(MODELL!AX36:BI36)</f>
        <v>2359608.27272727</v>
      </c>
      <c r="G11" s="26" t="n">
        <f aca="false">SUM(B11:F11)</f>
        <v>6437971.33068182</v>
      </c>
    </row>
    <row r="12" customFormat="false" ht="15" hidden="false" customHeight="true" outlineLevel="0" collapsed="false">
      <c r="A12" s="6" t="s">
        <v>98</v>
      </c>
      <c r="B12" s="23" t="n">
        <f aca="false">IF(B10=0,0,B11/B10)</f>
        <v>0.35</v>
      </c>
      <c r="C12" s="23" t="n">
        <f aca="false">IF(C10=0,0,C11/C10)</f>
        <v>0.4</v>
      </c>
      <c r="D12" s="23" t="n">
        <f aca="false">IF(D10=0,0,D11/D10)</f>
        <v>0.5</v>
      </c>
      <c r="E12" s="23" t="n">
        <f aca="false">IF(E10=0,0,E11/E10)</f>
        <v>0.5</v>
      </c>
      <c r="F12" s="23" t="n">
        <f aca="false">IF(F10=0,0,F11/F10)</f>
        <v>0.5</v>
      </c>
      <c r="G12" s="23" t="n">
        <f aca="false">IF(G10=0,0,G11/G10)</f>
        <v>0.481298596109329</v>
      </c>
    </row>
    <row r="13" customFormat="false" ht="15" hidden="false" customHeight="true" outlineLevel="0" collapsed="false">
      <c r="A13" s="27" t="s">
        <v>99</v>
      </c>
      <c r="B13" s="28" t="n">
        <f aca="false">SUM(MODELL!B36:M36)</f>
        <v>401282.005681818</v>
      </c>
      <c r="C13" s="28" t="n">
        <f aca="false">SUM(MODELL!N36:Y36)</f>
        <v>945306.913636364</v>
      </c>
      <c r="D13" s="28" t="n">
        <f aca="false">SUM(MODELL!Z36:AK36)</f>
        <v>1359924.78409091</v>
      </c>
      <c r="E13" s="28" t="n">
        <f aca="false">SUM(MODELL!AL36:AW36)</f>
        <v>1872158.73863636</v>
      </c>
      <c r="F13" s="28" t="n">
        <f aca="false">SUM(MODELL!AX36:BI36)</f>
        <v>2359608.27272727</v>
      </c>
      <c r="G13" s="28" t="n">
        <f aca="false">SUM(B13:F13)</f>
        <v>6938280.71477273</v>
      </c>
    </row>
    <row r="14" customFormat="false" ht="15" hidden="false" customHeight="true" outlineLevel="0" collapsed="false">
      <c r="A14" s="4" t="s">
        <v>100</v>
      </c>
      <c r="B14" s="10" t="n">
        <f aca="false">SUM(MODELL!B35:M35)</f>
        <v>108945.340909091</v>
      </c>
      <c r="C14" s="10" t="n">
        <f aca="false">SUM(MODELL!N35:Y35)</f>
        <v>82921.6590909091</v>
      </c>
      <c r="D14" s="10" t="n">
        <f aca="false">SUM(MODELL!Z35:AK35)</f>
        <v>143149.977272727</v>
      </c>
      <c r="E14" s="10" t="n">
        <f aca="false">SUM(MODELL!AL35:AW35)</f>
        <v>197069.340909091</v>
      </c>
      <c r="F14" s="10" t="n">
        <f aca="false">SUM(MODELL!AX35:BI35)</f>
        <v>248379.818181818</v>
      </c>
      <c r="G14" s="10" t="n">
        <f aca="false">SUM(B14:F14)</f>
        <v>780466.136363636</v>
      </c>
    </row>
    <row r="15" customFormat="false" ht="15" hidden="false" customHeight="true" outlineLevel="0" collapsed="false">
      <c r="A15" s="4" t="s">
        <v>101</v>
      </c>
      <c r="B15" s="10" t="n">
        <f aca="false">B13+B14</f>
        <v>510227.346590909</v>
      </c>
      <c r="C15" s="10" t="n">
        <f aca="false">C13+C14</f>
        <v>1028228.57272727</v>
      </c>
      <c r="D15" s="10" t="n">
        <f aca="false">D13+D14</f>
        <v>1503074.76136364</v>
      </c>
      <c r="E15" s="10" t="n">
        <f aca="false">E13+E14</f>
        <v>2069228.07954545</v>
      </c>
      <c r="F15" s="10" t="n">
        <f aca="false">F13+F14</f>
        <v>2607988.09090909</v>
      </c>
      <c r="G15" s="10" t="n">
        <f aca="false">SUM(B15:F15)</f>
        <v>7718746.85113636</v>
      </c>
    </row>
    <row r="16" customFormat="false" ht="15" hidden="false" customHeight="true" outlineLevel="0" collapsed="false">
      <c r="A16" s="6" t="s">
        <v>102</v>
      </c>
      <c r="B16" s="22" t="n">
        <f aca="false">B15-GuV!B5</f>
        <v>0</v>
      </c>
      <c r="C16" s="22" t="n">
        <f aca="false">C15-GuV!C5</f>
        <v>0</v>
      </c>
      <c r="D16" s="22" t="n">
        <f aca="false">D15-GuV!D5</f>
        <v>0</v>
      </c>
      <c r="E16" s="22" t="n">
        <f aca="false">E15-GuV!E5</f>
        <v>0</v>
      </c>
      <c r="F16" s="22" t="n">
        <f aca="false">F15-GuV!F5</f>
        <v>0</v>
      </c>
      <c r="G16" s="22"/>
    </row>
    <row r="17" customFormat="false" ht="15" hidden="false" customHeight="true" outlineLevel="0" collapsed="false">
      <c r="A17" s="11" t="s">
        <v>103</v>
      </c>
      <c r="B17" s="26" t="n">
        <f aca="false">B14*INPUT!$B$40</f>
        <v>32683.6022727273</v>
      </c>
      <c r="C17" s="26" t="n">
        <f aca="false">C14*INPUT!$B$40</f>
        <v>24876.4977272727</v>
      </c>
      <c r="D17" s="26" t="n">
        <f aca="false">D14*INPUT!$B$40</f>
        <v>42944.9931818182</v>
      </c>
      <c r="E17" s="26" t="n">
        <f aca="false">E14*INPUT!$B$40</f>
        <v>59120.8022727273</v>
      </c>
      <c r="F17" s="26" t="n">
        <f aca="false">F14*INPUT!$B$40</f>
        <v>74513.9454545455</v>
      </c>
      <c r="G17" s="26" t="n">
        <f aca="false">SUM(B17:F17)</f>
        <v>234139.840909091</v>
      </c>
    </row>
    <row r="18" customFormat="false" ht="15" hidden="false" customHeight="true" outlineLevel="0" collapsed="false">
      <c r="A18" s="27" t="s">
        <v>104</v>
      </c>
      <c r="B18" s="28" t="n">
        <f aca="false">B11+B17</f>
        <v>248758.528409091</v>
      </c>
      <c r="C18" s="28" t="n">
        <f aca="false">C11+C17</f>
        <v>655081.106818182</v>
      </c>
      <c r="D18" s="28" t="n">
        <f aca="false">D11+D17</f>
        <v>1402869.77727273</v>
      </c>
      <c r="E18" s="28" t="n">
        <f aca="false">E11+E17</f>
        <v>1931279.54090909</v>
      </c>
      <c r="F18" s="28" t="n">
        <f aca="false">F11+F17</f>
        <v>2434122.21818182</v>
      </c>
      <c r="G18" s="28" t="n">
        <f aca="false">SUM(B18:F18)</f>
        <v>6672111.17159091</v>
      </c>
    </row>
    <row r="19" customFormat="false" ht="15" hidden="false" customHeight="true" outlineLevel="0" collapsed="false">
      <c r="A19" s="6" t="s">
        <v>105</v>
      </c>
      <c r="B19" s="23" t="n">
        <f aca="false">IF(B8=0,0,B18/B8)</f>
        <v>0.3425</v>
      </c>
      <c r="C19" s="23" t="n">
        <f aca="false">IF(C8=0,0,C18/C8)</f>
        <v>0.395</v>
      </c>
      <c r="D19" s="23" t="n">
        <f aca="false">IF(D8=0,0,D18/D8)</f>
        <v>0.49</v>
      </c>
      <c r="E19" s="23" t="n">
        <f aca="false">IF(E8=0,0,E18/E8)</f>
        <v>0.49</v>
      </c>
      <c r="F19" s="23" t="n">
        <f aca="false">IF(F8=0,0,F18/F8)</f>
        <v>0.49</v>
      </c>
      <c r="G19" s="23" t="n">
        <f aca="false">IF(G8=0,0,G18/G8)</f>
        <v>0.471303524298454</v>
      </c>
    </row>
    <row r="21" customFormat="false" ht="15" hidden="false" customHeight="true" outlineLevel="0" collapsed="false">
      <c r="A21" s="20" t="s">
        <v>106</v>
      </c>
      <c r="B21" s="21"/>
      <c r="C21" s="21"/>
      <c r="D21" s="21"/>
      <c r="E21" s="21"/>
      <c r="F21" s="21"/>
      <c r="G21" s="21"/>
    </row>
    <row r="22" customFormat="false" ht="15" hidden="false" customHeight="true" outlineLevel="0" collapsed="false">
      <c r="A22" s="11" t="s">
        <v>107</v>
      </c>
      <c r="B22" s="26" t="n">
        <f aca="false">SUM(MODELL!B40:M40)</f>
        <v>2740</v>
      </c>
      <c r="C22" s="26" t="n">
        <f aca="false">SUM(MODELL!N40:Y40)</f>
        <v>9660</v>
      </c>
      <c r="D22" s="26" t="n">
        <f aca="false">SUM(MODELL!Z40:AK40)</f>
        <v>26460</v>
      </c>
      <c r="E22" s="26" t="n">
        <f aca="false">SUM(MODELL!AL40:AW40)</f>
        <v>48180</v>
      </c>
      <c r="F22" s="26" t="n">
        <f aca="false">SUM(MODELL!AX40:BI40)</f>
        <v>75660</v>
      </c>
      <c r="G22" s="26" t="n">
        <f aca="false">SUM(B22:F22)</f>
        <v>162700</v>
      </c>
    </row>
    <row r="23" customFormat="false" ht="15" hidden="false" customHeight="true" outlineLevel="0" collapsed="false">
      <c r="A23" s="4" t="s">
        <v>108</v>
      </c>
      <c r="B23" s="10" t="n">
        <f aca="false">B22*INPUT!$B$10</f>
        <v>371145.454545455</v>
      </c>
      <c r="C23" s="10" t="n">
        <f aca="false">C22*INPUT!$B$10</f>
        <v>1308490.90909091</v>
      </c>
      <c r="D23" s="10" t="n">
        <f aca="false">D22*INPUT!$B$10</f>
        <v>3584127.27272727</v>
      </c>
      <c r="E23" s="10" t="n">
        <f aca="false">E22*INPUT!$B$10</f>
        <v>6526200</v>
      </c>
      <c r="F23" s="10" t="n">
        <f aca="false">F22*INPUT!$B$10</f>
        <v>10248490.9090909</v>
      </c>
      <c r="G23" s="10" t="n">
        <f aca="false">SUM(B23:F23)</f>
        <v>22038454.5454545</v>
      </c>
    </row>
    <row r="24" customFormat="false" ht="15" hidden="false" customHeight="true" outlineLevel="0" collapsed="false">
      <c r="A24" s="11" t="s">
        <v>109</v>
      </c>
      <c r="B24" s="26" t="n">
        <f aca="false">B23-SUM(MODELL!B41:M41)</f>
        <v>129900.909090909</v>
      </c>
      <c r="C24" s="26" t="n">
        <f aca="false">C23-SUM(MODELL!N41:Y41)</f>
        <v>523396.363636364</v>
      </c>
      <c r="D24" s="26" t="n">
        <f aca="false">D23-SUM(MODELL!Z41:AK41)</f>
        <v>1792063.63636364</v>
      </c>
      <c r="E24" s="26" t="n">
        <f aca="false">E23-SUM(MODELL!AL41:AW41)</f>
        <v>3263100</v>
      </c>
      <c r="F24" s="26" t="n">
        <f aca="false">F23-SUM(MODELL!AX41:BI41)</f>
        <v>5124245.45454546</v>
      </c>
      <c r="G24" s="26" t="n">
        <f aca="false">SUM(B24:F24)</f>
        <v>10832706.3636364</v>
      </c>
    </row>
    <row r="25" customFormat="false" ht="15" hidden="false" customHeight="true" outlineLevel="0" collapsed="false">
      <c r="A25" s="6" t="s">
        <v>110</v>
      </c>
      <c r="B25" s="23" t="n">
        <f aca="false">IF(B23=0,0,B24/B23)</f>
        <v>0.35</v>
      </c>
      <c r="C25" s="23" t="n">
        <f aca="false">IF(C23=0,0,C24/C23)</f>
        <v>0.4</v>
      </c>
      <c r="D25" s="23" t="n">
        <f aca="false">IF(D23=0,0,D24/D23)</f>
        <v>0.5</v>
      </c>
      <c r="E25" s="23" t="n">
        <f aca="false">IF(E23=0,0,E24/E23)</f>
        <v>0.5</v>
      </c>
      <c r="F25" s="23" t="n">
        <f aca="false">IF(F23=0,0,F24/F23)</f>
        <v>0.5</v>
      </c>
      <c r="G25" s="23" t="n">
        <f aca="false">IF(G23=0,0,G24/G23)</f>
        <v>0.491536570374923</v>
      </c>
    </row>
    <row r="26" customFormat="false" ht="15" hidden="false" customHeight="true" outlineLevel="0" collapsed="false">
      <c r="A26" s="27" t="s">
        <v>111</v>
      </c>
      <c r="B26" s="28" t="n">
        <f aca="false">SUM(MODELL!B41:M41)</f>
        <v>241244.545454545</v>
      </c>
      <c r="C26" s="28" t="n">
        <f aca="false">SUM(MODELL!N41:Y41)</f>
        <v>785094.545454545</v>
      </c>
      <c r="D26" s="28" t="n">
        <f aca="false">SUM(MODELL!Z41:AK41)</f>
        <v>1792063.63636364</v>
      </c>
      <c r="E26" s="28" t="n">
        <f aca="false">SUM(MODELL!AL41:AW41)</f>
        <v>3263100</v>
      </c>
      <c r="F26" s="28" t="n">
        <f aca="false">SUM(MODELL!AX41:BI41)</f>
        <v>5124245.45454545</v>
      </c>
      <c r="G26" s="28" t="n">
        <f aca="false">SUM(B26:F26)</f>
        <v>11205748.1818182</v>
      </c>
    </row>
    <row r="27" customFormat="false" ht="15" hidden="false" customHeight="true" outlineLevel="0" collapsed="false">
      <c r="A27" s="6" t="s">
        <v>112</v>
      </c>
      <c r="B27" s="22" t="n">
        <f aca="false">B26-GuV!B6</f>
        <v>0</v>
      </c>
      <c r="C27" s="22" t="n">
        <f aca="false">C26-GuV!C6</f>
        <v>0</v>
      </c>
      <c r="D27" s="22" t="n">
        <f aca="false">D26-GuV!D6</f>
        <v>0</v>
      </c>
      <c r="E27" s="22" t="n">
        <f aca="false">E26-GuV!E6</f>
        <v>0</v>
      </c>
      <c r="F27" s="22" t="n">
        <f aca="false">F26-GuV!F6</f>
        <v>0</v>
      </c>
      <c r="G27" s="22"/>
    </row>
    <row r="29" customFormat="false" ht="15" hidden="false" customHeight="true" outlineLevel="0" collapsed="false">
      <c r="A29" s="20" t="s">
        <v>113</v>
      </c>
      <c r="B29" s="21"/>
      <c r="C29" s="21"/>
      <c r="D29" s="21"/>
      <c r="E29" s="21"/>
      <c r="F29" s="21"/>
      <c r="G29" s="21"/>
    </row>
    <row r="30" customFormat="false" ht="15" hidden="false" customHeight="true" outlineLevel="0" collapsed="false">
      <c r="A30" s="11" t="s">
        <v>114</v>
      </c>
      <c r="B30" s="26" t="n">
        <f aca="false">SUM(MODELL!B44:M44)</f>
        <v>422.348257672803</v>
      </c>
      <c r="C30" s="26" t="n">
        <f aca="false">SUM(MODELL!N44:Y44)</f>
        <v>1624.1866009891</v>
      </c>
      <c r="D30" s="26" t="n">
        <f aca="false">SUM(MODELL!Z44:AK44)</f>
        <v>3513.79241255554</v>
      </c>
      <c r="E30" s="26" t="n">
        <f aca="false">SUM(MODELL!AL44:AW44)</f>
        <v>5698.43372854584</v>
      </c>
      <c r="F30" s="26" t="n">
        <f aca="false">SUM(MODELL!AX44:BI44)</f>
        <v>7890.76410978034</v>
      </c>
      <c r="G30" s="26" t="n">
        <f aca="false">SUM(B30:F30)</f>
        <v>19149.5251095436</v>
      </c>
    </row>
    <row r="31" customFormat="false" ht="15" hidden="false" customHeight="true" outlineLevel="0" collapsed="false">
      <c r="A31" s="4" t="s">
        <v>115</v>
      </c>
      <c r="B31" s="10" t="n">
        <f aca="false">SUM(MODELL!B45:M45)</f>
        <v>57208.9912665888</v>
      </c>
      <c r="C31" s="10" t="n">
        <f aca="false">SUM(MODELL!N45:Y45)</f>
        <v>220003.457770341</v>
      </c>
      <c r="D31" s="10" t="n">
        <f aca="false">SUM(MODELL!Z45:AK45)</f>
        <v>475959.154064342</v>
      </c>
      <c r="E31" s="10" t="n">
        <f aca="false">SUM(MODELL!AL45:AW45)</f>
        <v>771878.750503027</v>
      </c>
      <c r="F31" s="10" t="n">
        <f aca="false">SUM(MODELL!AX45:BI45)</f>
        <v>1068839.86577934</v>
      </c>
      <c r="G31" s="10" t="n">
        <f aca="false">SUM(B31:F31)</f>
        <v>2593890.21938364</v>
      </c>
    </row>
    <row r="32" customFormat="false" ht="15" hidden="false" customHeight="true" outlineLevel="0" collapsed="false">
      <c r="A32" s="11" t="s">
        <v>116</v>
      </c>
      <c r="B32" s="26" t="n">
        <f aca="false">B31*INPUT!$B$41</f>
        <v>5720.89912665888</v>
      </c>
      <c r="C32" s="26" t="n">
        <f aca="false">C31*INPUT!$B$41</f>
        <v>22000.3457770341</v>
      </c>
      <c r="D32" s="26" t="n">
        <f aca="false">D31*INPUT!$B$41</f>
        <v>47595.9154064342</v>
      </c>
      <c r="E32" s="26" t="n">
        <f aca="false">E31*INPUT!$B$41</f>
        <v>77187.8750503027</v>
      </c>
      <c r="F32" s="26" t="n">
        <f aca="false">F31*INPUT!$B$41</f>
        <v>106883.986577934</v>
      </c>
      <c r="G32" s="26" t="n">
        <f aca="false">SUM(B32:F32)</f>
        <v>259389.021938364</v>
      </c>
    </row>
    <row r="34" customFormat="false" ht="15" hidden="false" customHeight="true" outlineLevel="0" collapsed="false">
      <c r="A34" s="20" t="s">
        <v>117</v>
      </c>
      <c r="B34" s="21"/>
      <c r="C34" s="21"/>
      <c r="D34" s="21"/>
      <c r="E34" s="21"/>
      <c r="F34" s="21"/>
      <c r="G34" s="21"/>
    </row>
    <row r="35" customFormat="false" ht="15" hidden="false" customHeight="true" outlineLevel="0" collapsed="false">
      <c r="A35" s="11" t="s">
        <v>118</v>
      </c>
      <c r="B35" s="26" t="n">
        <f aca="false">SUM(MODELL!B27:M27)</f>
        <v>5678.25108118888</v>
      </c>
      <c r="C35" s="26" t="n">
        <f aca="false">SUM(MODELL!N27:Y27)</f>
        <v>18401.3512207578</v>
      </c>
      <c r="D35" s="26" t="n">
        <f aca="false">SUM(MODELL!Z27:AK27)</f>
        <v>35512.8604039261</v>
      </c>
      <c r="E35" s="26" t="n">
        <f aca="false">SUM(MODELL!AL27:AW27)</f>
        <v>59031.9699566834</v>
      </c>
      <c r="F35" s="26" t="n">
        <f aca="false">SUM(MODELL!AX27:BI27)</f>
        <v>87577.1590066126</v>
      </c>
      <c r="G35" s="26" t="n">
        <f aca="false">SUM(B35:F35)</f>
        <v>206201.591669169</v>
      </c>
    </row>
    <row r="36" customFormat="false" ht="15" hidden="false" customHeight="true" outlineLevel="0" collapsed="false">
      <c r="A36" s="4" t="s">
        <v>119</v>
      </c>
      <c r="B36" s="10" t="n">
        <f aca="false">SUM(MODELL!B28:M28)</f>
        <v>708463.488996991</v>
      </c>
      <c r="C36" s="10" t="n">
        <f aca="false">SUM(MODELL!N28:Y28)</f>
        <v>2260126.96870913</v>
      </c>
      <c r="D36" s="10" t="n">
        <f aca="false">SUM(MODELL!Z28:AK28)</f>
        <v>4311154.04590318</v>
      </c>
      <c r="E36" s="10" t="n">
        <f aca="false">SUM(MODELL!AL28:AW28)</f>
        <v>7121713.75677585</v>
      </c>
      <c r="F36" s="10" t="n">
        <f aca="false">SUM(MODELL!AX28:BI28)</f>
        <v>10505613.0988138</v>
      </c>
      <c r="G36" s="10" t="n">
        <f aca="false">SUM(B36:F36)</f>
        <v>24907071.3591989</v>
      </c>
    </row>
    <row r="38" customFormat="false" ht="15" hidden="false" customHeight="true" outlineLevel="0" collapsed="false">
      <c r="A38" s="20" t="s">
        <v>120</v>
      </c>
      <c r="B38" s="21"/>
      <c r="C38" s="21"/>
      <c r="D38" s="21"/>
      <c r="E38" s="21"/>
      <c r="F38" s="21"/>
      <c r="G38" s="21"/>
    </row>
    <row r="39" customFormat="false" ht="15" hidden="false" customHeight="true" outlineLevel="0" collapsed="false">
      <c r="A39" s="4" t="s">
        <v>121</v>
      </c>
      <c r="B39" s="10" t="n">
        <f aca="false">B8+B23+B31+B36</f>
        <v>1863120.20753631</v>
      </c>
      <c r="C39" s="10" t="n">
        <f aca="false">C8+C23+C31+C36</f>
        <v>5447054.51738856</v>
      </c>
      <c r="D39" s="10" t="n">
        <f aca="false">D8+D23+D31+D36</f>
        <v>11234240.0181493</v>
      </c>
      <c r="E39" s="10" t="n">
        <f aca="false">E8+E23+E31+E36</f>
        <v>18361179.3254607</v>
      </c>
      <c r="F39" s="10" t="n">
        <f aca="false">F8+F23+F31+F36</f>
        <v>26790540.2373204</v>
      </c>
      <c r="G39" s="10" t="n">
        <f aca="false">SUM(B39:F39)</f>
        <v>63696134.3058553</v>
      </c>
    </row>
    <row r="40" customFormat="false" ht="15" hidden="false" customHeight="true" outlineLevel="0" collapsed="false">
      <c r="A40" s="11" t="s">
        <v>122</v>
      </c>
      <c r="B40" s="26" t="n">
        <f aca="false">-(B11+B24)</f>
        <v>-345975.835227273</v>
      </c>
      <c r="C40" s="26" t="n">
        <f aca="false">-(C11+C24)</f>
        <v>-1153600.97272727</v>
      </c>
      <c r="D40" s="26" t="n">
        <f aca="false">-(D11+D24)</f>
        <v>-3151988.42045455</v>
      </c>
      <c r="E40" s="26" t="n">
        <f aca="false">-(E11+E24)</f>
        <v>-5135258.73863636</v>
      </c>
      <c r="F40" s="26" t="n">
        <f aca="false">-(F11+F24)</f>
        <v>-7483853.72727273</v>
      </c>
      <c r="G40" s="26" t="n">
        <f aca="false">SUM(B40:F40)</f>
        <v>-17270677.6943182</v>
      </c>
    </row>
    <row r="41" customFormat="false" ht="15" hidden="false" customHeight="true" outlineLevel="0" collapsed="false">
      <c r="A41" s="27" t="s">
        <v>123</v>
      </c>
      <c r="B41" s="28" t="n">
        <f aca="false">B39+B40</f>
        <v>1517144.37230903</v>
      </c>
      <c r="C41" s="28" t="n">
        <f aca="false">C39+C40</f>
        <v>4293453.54466129</v>
      </c>
      <c r="D41" s="28" t="n">
        <f aca="false">D39+D40</f>
        <v>8082251.59769479</v>
      </c>
      <c r="E41" s="28" t="n">
        <f aca="false">E39+E40</f>
        <v>13225920.5868243</v>
      </c>
      <c r="F41" s="28" t="n">
        <f aca="false">F39+F40</f>
        <v>19306686.5100477</v>
      </c>
      <c r="G41" s="28" t="n">
        <f aca="false">SUM(B41:F41)</f>
        <v>46425456.6115371</v>
      </c>
    </row>
    <row r="42" customFormat="false" ht="15" hidden="false" customHeight="true" outlineLevel="0" collapsed="false">
      <c r="A42" s="6" t="s">
        <v>124</v>
      </c>
      <c r="B42" s="22" t="n">
        <f aca="false">B41-GuV!B8</f>
        <v>0</v>
      </c>
      <c r="C42" s="22" t="n">
        <f aca="false">C41-GuV!C8</f>
        <v>0</v>
      </c>
      <c r="D42" s="22" t="n">
        <f aca="false">D41-GuV!D8</f>
        <v>0</v>
      </c>
      <c r="E42" s="22" t="n">
        <f aca="false">E41-GuV!E8</f>
        <v>0</v>
      </c>
      <c r="F42" s="22" t="n">
        <f aca="false">F41-GuV!F8</f>
        <v>0</v>
      </c>
      <c r="G42" s="22"/>
    </row>
    <row r="43" customFormat="false" ht="15" hidden="false" customHeight="true" outlineLevel="0" collapsed="false">
      <c r="A43" s="11" t="s">
        <v>125</v>
      </c>
      <c r="B43" s="29" t="n">
        <f aca="false">IF(B39=0,0,B41/B39)</f>
        <v>0.814302998900553</v>
      </c>
      <c r="C43" s="29" t="n">
        <f aca="false">IF(C39=0,0,C41/C39)</f>
        <v>0.788215636718038</v>
      </c>
      <c r="D43" s="29" t="n">
        <f aca="false">IF(D39=0,0,D41/D39)</f>
        <v>0.719430204859217</v>
      </c>
      <c r="E43" s="29" t="n">
        <f aca="false">IF(E39=0,0,E41/E39)</f>
        <v>0.720319776436391</v>
      </c>
      <c r="F43" s="29" t="n">
        <f aca="false">IF(F39=0,0,F41/F39)</f>
        <v>0.720653123790039</v>
      </c>
      <c r="G43" s="29" t="n">
        <f aca="false">IF(G39=0,0,G41/G39)</f>
        <v>0.728858306983151</v>
      </c>
    </row>
    <row r="45" customFormat="false" ht="15" hidden="false" customHeight="true" outlineLevel="0" collapsed="false">
      <c r="A45" s="11" t="s">
        <v>126</v>
      </c>
      <c r="B45" s="26" t="n">
        <f aca="false">B17+B32</f>
        <v>38404.5013993862</v>
      </c>
      <c r="C45" s="26" t="n">
        <f aca="false">C17+C32</f>
        <v>46876.8435043069</v>
      </c>
      <c r="D45" s="26" t="n">
        <f aca="false">D17+D32</f>
        <v>90540.9085882524</v>
      </c>
      <c r="E45" s="26" t="n">
        <f aca="false">E17+E32</f>
        <v>136308.67732303</v>
      </c>
      <c r="F45" s="26" t="n">
        <f aca="false">F17+F32</f>
        <v>181397.932032479</v>
      </c>
      <c r="G45" s="26" t="n">
        <f aca="false">SUM(B45:F45)</f>
        <v>493528.862847455</v>
      </c>
    </row>
    <row r="46" customFormat="false" ht="15" hidden="false" customHeight="true" outlineLevel="0" collapsed="false">
      <c r="A46" s="6" t="s">
        <v>127</v>
      </c>
      <c r="B46" s="22" t="n">
        <f aca="false">B45+GuV!B13</f>
        <v>0</v>
      </c>
      <c r="C46" s="22" t="n">
        <f aca="false">C45+GuV!C13</f>
        <v>0</v>
      </c>
      <c r="D46" s="22" t="n">
        <f aca="false">D45+GuV!D13</f>
        <v>0</v>
      </c>
      <c r="E46" s="22" t="n">
        <f aca="false">E45+GuV!E13</f>
        <v>0</v>
      </c>
      <c r="F46" s="22" t="n">
        <f aca="false">F45+GuV!F13</f>
        <v>0</v>
      </c>
      <c r="G46" s="22"/>
    </row>
    <row r="47" customFormat="false" ht="15" hidden="false" customHeight="true" outlineLevel="0" collapsed="false">
      <c r="A47" s="11" t="s">
        <v>128</v>
      </c>
      <c r="B47" s="26" t="n">
        <f aca="false">-GuV!B14</f>
        <v>23108.2914573797</v>
      </c>
      <c r="C47" s="26" t="n">
        <f aca="false">-GuV!C14</f>
        <v>59593.4919734356</v>
      </c>
      <c r="D47" s="26" t="n">
        <f aca="false">-GuV!D14</f>
        <v>110416.699296101</v>
      </c>
      <c r="E47" s="26" t="n">
        <f aca="false">-GuV!E14</f>
        <v>179036.944581764</v>
      </c>
      <c r="F47" s="26" t="n">
        <f aca="false">-GuV!F14</f>
        <v>258590.264376042</v>
      </c>
      <c r="G47" s="26" t="n">
        <f aca="false">SUM(B47:F47)</f>
        <v>630745.691684722</v>
      </c>
    </row>
    <row r="48" customFormat="false" ht="15" hidden="false" customHeight="true" outlineLevel="0" collapsed="false">
      <c r="A48" s="27" t="s">
        <v>129</v>
      </c>
      <c r="B48" s="28" t="n">
        <f aca="false">B11+B24+B45+B47</f>
        <v>407488.628084038</v>
      </c>
      <c r="C48" s="28" t="n">
        <f aca="false">C11+C24+C45+C47</f>
        <v>1260071.30820502</v>
      </c>
      <c r="D48" s="28" t="n">
        <f aca="false">D11+D24+D45+D47</f>
        <v>3352946.0283389</v>
      </c>
      <c r="E48" s="28" t="n">
        <f aca="false">E11+E24+E45+E47</f>
        <v>5450604.36054116</v>
      </c>
      <c r="F48" s="28" t="n">
        <f aca="false">F11+F24+F45+F47</f>
        <v>7923841.92368125</v>
      </c>
      <c r="G48" s="28" t="n">
        <f aca="false">SUM(B48:F48)</f>
        <v>18394952.2488504</v>
      </c>
    </row>
    <row r="49" customFormat="false" ht="15" hidden="false" customHeight="true" outlineLevel="0" collapsed="false">
      <c r="A49" s="6" t="s">
        <v>130</v>
      </c>
      <c r="B49" s="23" t="n">
        <f aca="false">IF(B39=0,0,B48/B39)</f>
        <v>0.218713009732679</v>
      </c>
      <c r="C49" s="23" t="n">
        <f aca="false">IF(C39=0,0,C48/C39)</f>
        <v>0.231330768616783</v>
      </c>
      <c r="D49" s="23" t="n">
        <f aca="false">IF(D39=0,0,D48/D39)</f>
        <v>0.298457752631428</v>
      </c>
      <c r="E49" s="23" t="n">
        <f aca="false">IF(E39=0,0,E48/E39)</f>
        <v>0.296854807849027</v>
      </c>
      <c r="F49" s="23" t="n">
        <f aca="false">IF(F39=0,0,F48/F39)</f>
        <v>0.295770143247914</v>
      </c>
      <c r="G49" s="23" t="n">
        <f aca="false">IF(G39=0,0,G48/G39)</f>
        <v>0.288792286208794</v>
      </c>
    </row>
    <row r="51" customFormat="false" ht="15" hidden="false" customHeight="true" outlineLevel="0" collapsed="false">
      <c r="A51" s="11" t="s">
        <v>131</v>
      </c>
      <c r="B51" s="26" t="n">
        <f aca="false">-GuV!B10</f>
        <v>568965.223554467</v>
      </c>
      <c r="C51" s="26" t="n">
        <f aca="false">-GuV!C10</f>
        <v>1679342.26286987</v>
      </c>
      <c r="D51" s="26" t="n">
        <f aca="false">-GuV!D10</f>
        <v>3468888.36265927</v>
      </c>
      <c r="E51" s="26" t="n">
        <f aca="false">-GuV!E10</f>
        <v>5686056.39740917</v>
      </c>
      <c r="F51" s="26" t="n">
        <f aca="false">-GuV!F10</f>
        <v>8319574.92465572</v>
      </c>
      <c r="G51" s="26" t="n">
        <f aca="false">SUM(B51:F51)</f>
        <v>19722827.1711485</v>
      </c>
    </row>
    <row r="52" customFormat="false" ht="15" hidden="false" customHeight="true" outlineLevel="0" collapsed="false">
      <c r="A52" s="27" t="s">
        <v>132</v>
      </c>
      <c r="B52" s="28" t="n">
        <f aca="false">B41-B51-B45-B47</f>
        <v>886666.355897801</v>
      </c>
      <c r="C52" s="28" t="n">
        <f aca="false">C41-C51-C45-C47</f>
        <v>2507640.94631367</v>
      </c>
      <c r="D52" s="28" t="n">
        <f aca="false">D41-D51-D45-D47</f>
        <v>4412405.62715117</v>
      </c>
      <c r="E52" s="28" t="n">
        <f aca="false">E41-E51-E45-E47</f>
        <v>7224518.56751037</v>
      </c>
      <c r="F52" s="28" t="n">
        <f aca="false">F41-F51-F45-F47</f>
        <v>10547123.3889834</v>
      </c>
      <c r="G52" s="28" t="n">
        <f aca="false">SUM(B52:F52)</f>
        <v>25578354.8858564</v>
      </c>
    </row>
    <row r="53" customFormat="false" ht="15" hidden="false" customHeight="true" outlineLevel="0" collapsed="false">
      <c r="A53" s="6" t="s">
        <v>133</v>
      </c>
      <c r="B53" s="23" t="n">
        <f aca="false">IF(B41=0,0,B52/B41)</f>
        <v>0.584431101008752</v>
      </c>
      <c r="C53" s="23" t="n">
        <f aca="false">IF(C41=0,0,C52/C41)</f>
        <v>0.58406150671685</v>
      </c>
      <c r="D53" s="23" t="n">
        <f aca="false">IF(D41=0,0,D52/D41)</f>
        <v>0.545937672666571</v>
      </c>
      <c r="E53" s="23" t="n">
        <f aca="false">IF(E41=0,0,E52/E41)</f>
        <v>0.546239372910452</v>
      </c>
      <c r="F53" s="23" t="n">
        <f aca="false">IF(F41=0,0,F52/F41)</f>
        <v>0.54629381294892</v>
      </c>
      <c r="G53" s="23" t="n">
        <f aca="false">IF(G41=0,0,G52/G41)</f>
        <v>0.55095537562252</v>
      </c>
    </row>
    <row r="55" customFormat="false" ht="15" hidden="false" customHeight="true" outlineLevel="0" collapsed="false">
      <c r="A55" s="20" t="s">
        <v>134</v>
      </c>
      <c r="B55" s="21"/>
      <c r="C55" s="21"/>
      <c r="D55" s="21"/>
      <c r="E55" s="21"/>
      <c r="F55" s="21"/>
      <c r="G55" s="21"/>
    </row>
    <row r="56" customFormat="false" ht="15" hidden="false" customHeight="true" outlineLevel="0" collapsed="false">
      <c r="A56" s="11" t="s">
        <v>135</v>
      </c>
      <c r="B56" s="30" t="n">
        <f aca="false">INPUT!$B$10</f>
        <v>135.454545454545</v>
      </c>
      <c r="C56" s="30" t="n">
        <f aca="false">INPUT!$B$10</f>
        <v>135.454545454545</v>
      </c>
      <c r="D56" s="30" t="n">
        <f aca="false">INPUT!$B$10</f>
        <v>135.454545454545</v>
      </c>
      <c r="E56" s="30" t="n">
        <f aca="false">INPUT!$B$10</f>
        <v>135.454545454545</v>
      </c>
      <c r="F56" s="30" t="n">
        <f aca="false">INPUT!$B$10</f>
        <v>135.454545454545</v>
      </c>
      <c r="G56" s="30"/>
    </row>
    <row r="57" customFormat="false" ht="15" hidden="false" customHeight="true" outlineLevel="0" collapsed="false">
      <c r="A57" s="11" t="s">
        <v>136</v>
      </c>
      <c r="B57" s="29" t="n">
        <f aca="false">INDEX(INPUT!$B$44:$F$44,1,1)</f>
        <v>0.35</v>
      </c>
      <c r="C57" s="29" t="n">
        <f aca="false">INDEX(INPUT!$B$44:$F$44,1,2)</f>
        <v>0.4</v>
      </c>
      <c r="D57" s="29" t="n">
        <f aca="false">INDEX(INPUT!$B$44:$F$44,1,3)</f>
        <v>0.5</v>
      </c>
      <c r="E57" s="29" t="n">
        <f aca="false">INDEX(INPUT!$B$44:$F$44,1,4)</f>
        <v>0.5</v>
      </c>
      <c r="F57" s="29" t="n">
        <f aca="false">INDEX(INPUT!$B$44:$F$44,1,5)</f>
        <v>0.5</v>
      </c>
      <c r="G57" s="29"/>
    </row>
    <row r="58" customFormat="false" ht="15" hidden="false" customHeight="true" outlineLevel="0" collapsed="false">
      <c r="A58" s="4" t="s">
        <v>137</v>
      </c>
      <c r="B58" s="31" t="n">
        <f aca="false">B56*(1-B57)</f>
        <v>88.0454545454545</v>
      </c>
      <c r="C58" s="31" t="n">
        <f aca="false">C56*(1-C57)</f>
        <v>81.2727272727273</v>
      </c>
      <c r="D58" s="31" t="n">
        <f aca="false">D56*(1-D57)</f>
        <v>67.7272727272727</v>
      </c>
      <c r="E58" s="31" t="n">
        <f aca="false">E56*(1-E57)</f>
        <v>67.7272727272727</v>
      </c>
      <c r="F58" s="31" t="n">
        <f aca="false">F56*(1-F57)</f>
        <v>67.7272727272727</v>
      </c>
      <c r="G58" s="31"/>
    </row>
    <row r="59" customFormat="false" ht="15" hidden="false" customHeight="true" outlineLevel="0" collapsed="false">
      <c r="A59" s="11" t="s">
        <v>138</v>
      </c>
      <c r="B59" s="30" t="n">
        <f aca="false">B56-B58</f>
        <v>47.4090909090909</v>
      </c>
      <c r="C59" s="30" t="n">
        <f aca="false">C56-C58</f>
        <v>54.1818181818182</v>
      </c>
      <c r="D59" s="30" t="n">
        <f aca="false">D56-D58</f>
        <v>67.7272727272727</v>
      </c>
      <c r="E59" s="30" t="n">
        <f aca="false">E56-E58</f>
        <v>67.7272727272727</v>
      </c>
      <c r="F59" s="30" t="n">
        <f aca="false">F56-F58</f>
        <v>67.7272727272727</v>
      </c>
      <c r="G59" s="30"/>
    </row>
    <row r="60" customFormat="false" ht="15" hidden="false" customHeight="true" outlineLevel="0" collapsed="false">
      <c r="A60" s="11" t="s">
        <v>139</v>
      </c>
      <c r="B60" s="30" t="n">
        <f aca="false">INPUT!$B$19</f>
        <v>40</v>
      </c>
      <c r="C60" s="30" t="n">
        <f aca="false">INPUT!$B$19</f>
        <v>40</v>
      </c>
      <c r="D60" s="30" t="n">
        <f aca="false">INPUT!$B$19</f>
        <v>40</v>
      </c>
      <c r="E60" s="30" t="n">
        <f aca="false">INPUT!$B$19</f>
        <v>40</v>
      </c>
      <c r="F60" s="30" t="n">
        <f aca="false">INPUT!$B$19</f>
        <v>40</v>
      </c>
      <c r="G60" s="30"/>
    </row>
    <row r="61" customFormat="false" ht="15" hidden="false" customHeight="true" outlineLevel="0" collapsed="false">
      <c r="A61" s="11" t="s">
        <v>140</v>
      </c>
      <c r="B61" s="30" t="n">
        <f aca="false">INPUT!$B$22</f>
        <v>1.6</v>
      </c>
      <c r="C61" s="30" t="n">
        <f aca="false">INPUT!$B$22</f>
        <v>1.6</v>
      </c>
      <c r="D61" s="30" t="n">
        <f aca="false">INPUT!$B$22</f>
        <v>1.6</v>
      </c>
      <c r="E61" s="30" t="n">
        <f aca="false">INPUT!$B$22</f>
        <v>1.6</v>
      </c>
      <c r="F61" s="30" t="n">
        <f aca="false">INPUT!$B$22</f>
        <v>1.6</v>
      </c>
      <c r="G61" s="30"/>
    </row>
    <row r="62" customFormat="false" ht="15" hidden="false" customHeight="true" outlineLevel="0" collapsed="false">
      <c r="A62" s="27" t="s">
        <v>141</v>
      </c>
      <c r="B62" s="32" t="n">
        <f aca="false">B58-B60-B61</f>
        <v>46.4454545454545</v>
      </c>
      <c r="C62" s="32" t="n">
        <f aca="false">C58-C60-C61</f>
        <v>39.6727272727273</v>
      </c>
      <c r="D62" s="32" t="n">
        <f aca="false">D58-D60-D61</f>
        <v>26.1272727272727</v>
      </c>
      <c r="E62" s="32" t="n">
        <f aca="false">E58-E60-E61</f>
        <v>26.1272727272727</v>
      </c>
      <c r="F62" s="32" t="n">
        <f aca="false">F58-F60-F61</f>
        <v>26.1272727272727</v>
      </c>
      <c r="G62" s="32"/>
    </row>
    <row r="63" customFormat="false" ht="15" hidden="false" customHeight="true" outlineLevel="0" collapsed="false">
      <c r="A63" s="6" t="s">
        <v>142</v>
      </c>
      <c r="B63" s="23" t="n">
        <f aca="false">IF(B58=0,0,B62/B58)</f>
        <v>0.52751677852349</v>
      </c>
      <c r="C63" s="23" t="n">
        <f aca="false">IF(C58=0,0,C62/C58)</f>
        <v>0.488143176733781</v>
      </c>
      <c r="D63" s="23" t="n">
        <f aca="false">IF(D58=0,0,D62/D58)</f>
        <v>0.385771812080537</v>
      </c>
      <c r="E63" s="23" t="n">
        <f aca="false">IF(E58=0,0,E62/E58)</f>
        <v>0.385771812080537</v>
      </c>
      <c r="F63" s="23" t="n">
        <f aca="false">IF(F58=0,0,F62/F58)</f>
        <v>0.385771812080537</v>
      </c>
      <c r="G63" s="23"/>
    </row>
    <row r="65" customFormat="false" ht="63.75" hidden="false" customHeight="true" outlineLevel="0" collapsed="false">
      <c r="A65" s="33" t="s">
        <v>143</v>
      </c>
      <c r="B65" s="33"/>
      <c r="C65" s="33"/>
      <c r="D65" s="33"/>
      <c r="E65" s="33"/>
      <c r="F65" s="33"/>
      <c r="G65" s="33"/>
    </row>
    <row r="66" customFormat="false" ht="36" hidden="false" customHeight="true" outlineLevel="0" collapsed="false">
      <c r="A66" s="33" t="s">
        <v>144</v>
      </c>
      <c r="B66" s="33"/>
      <c r="C66" s="33"/>
      <c r="D66" s="33"/>
      <c r="E66" s="33"/>
      <c r="F66" s="33"/>
      <c r="G66" s="33"/>
    </row>
  </sheetData>
  <mergeCells count="3">
    <mergeCell ref="A2:G2"/>
    <mergeCell ref="A65:G65"/>
    <mergeCell ref="A66:G6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0"/>
    <col collapsed="false" customWidth="true" hidden="false" outlineLevel="0" max="6" min="2" style="1" width="14"/>
  </cols>
  <sheetData>
    <row r="1" customFormat="false" ht="15.75" hidden="false" customHeight="true" outlineLevel="0" collapsed="false">
      <c r="A1" s="14" t="s">
        <v>145</v>
      </c>
    </row>
    <row r="2" customFormat="false" ht="36" hidden="false" customHeight="true" outlineLevel="0" collapsed="false">
      <c r="A2" s="24" t="s">
        <v>146</v>
      </c>
      <c r="B2" s="24"/>
      <c r="C2" s="24"/>
      <c r="D2" s="24"/>
      <c r="E2" s="24"/>
      <c r="F2" s="24"/>
    </row>
    <row r="4" customFormat="false" ht="30" hidden="false" customHeight="true" outlineLevel="0" collapsed="false">
      <c r="A4" s="15"/>
      <c r="B4" s="25" t="s">
        <v>5</v>
      </c>
      <c r="C4" s="25" t="s">
        <v>6</v>
      </c>
      <c r="D4" s="25" t="s">
        <v>7</v>
      </c>
      <c r="E4" s="25" t="s">
        <v>8</v>
      </c>
      <c r="F4" s="25" t="s">
        <v>9</v>
      </c>
    </row>
    <row r="5" customFormat="false" ht="15" hidden="false" customHeight="true" outlineLevel="0" collapsed="false">
      <c r="A5" s="20" t="s">
        <v>147</v>
      </c>
      <c r="B5" s="21"/>
      <c r="C5" s="21"/>
      <c r="D5" s="21"/>
      <c r="E5" s="21"/>
      <c r="F5" s="21"/>
    </row>
    <row r="6" customFormat="false" ht="15" hidden="false" customHeight="true" outlineLevel="0" collapsed="false">
      <c r="A6" s="11" t="s">
        <v>148</v>
      </c>
      <c r="B6" s="34" t="n">
        <f aca="false">INDEX(INPUT!$C$31:$G$31,1,1)</f>
        <v>10</v>
      </c>
      <c r="C6" s="34" t="n">
        <f aca="false">INDEX(INPUT!$C$31:$G$31,1,2)</f>
        <v>22</v>
      </c>
      <c r="D6" s="34" t="n">
        <f aca="false">INDEX(INPUT!$C$31:$G$31,1,3)</f>
        <v>32</v>
      </c>
      <c r="E6" s="34" t="n">
        <f aca="false">INDEX(INPUT!$C$31:$G$31,1,4)</f>
        <v>40</v>
      </c>
      <c r="F6" s="34" t="n">
        <f aca="false">INDEX(INPUT!$C$31:$G$31,1,5)</f>
        <v>48</v>
      </c>
    </row>
    <row r="7" customFormat="false" ht="15" hidden="false" customHeight="true" outlineLevel="0" collapsed="false">
      <c r="A7" s="11" t="s">
        <v>149</v>
      </c>
      <c r="B7" s="34" t="n">
        <f aca="false">INDEX(INPUT!$C$32:$G$32,1,1)</f>
        <v>15</v>
      </c>
      <c r="C7" s="34" t="n">
        <f aca="false">INDEX(INPUT!$C$32:$G$32,1,2)</f>
        <v>40</v>
      </c>
      <c r="D7" s="34" t="n">
        <f aca="false">INDEX(INPUT!$C$32:$G$32,1,3)</f>
        <v>75</v>
      </c>
      <c r="E7" s="34" t="n">
        <f aca="false">INDEX(INPUT!$C$32:$G$32,1,4)</f>
        <v>110</v>
      </c>
      <c r="F7" s="34" t="n">
        <f aca="false">INDEX(INPUT!$C$32:$G$32,1,5)</f>
        <v>150</v>
      </c>
    </row>
    <row r="8" customFormat="false" ht="15" hidden="false" customHeight="true" outlineLevel="0" collapsed="false">
      <c r="A8" s="11" t="s">
        <v>150</v>
      </c>
      <c r="B8" s="34" t="n">
        <f aca="false">INDEX(INPUT!$C$33:$G$33,1,1)</f>
        <v>40</v>
      </c>
      <c r="C8" s="34" t="n">
        <f aca="false">INDEX(INPUT!$C$33:$G$33,1,2)</f>
        <v>90</v>
      </c>
      <c r="D8" s="34" t="n">
        <f aca="false">INDEX(INPUT!$C$33:$G$33,1,3)</f>
        <v>150</v>
      </c>
      <c r="E8" s="34" t="n">
        <f aca="false">INDEX(INPUT!$C$33:$G$33,1,4)</f>
        <v>210</v>
      </c>
      <c r="F8" s="34" t="n">
        <f aca="false">INDEX(INPUT!$C$33:$G$33,1,5)</f>
        <v>270</v>
      </c>
    </row>
    <row r="9" customFormat="false" ht="15" hidden="false" customHeight="true" outlineLevel="0" collapsed="false">
      <c r="A9" s="27" t="s">
        <v>151</v>
      </c>
      <c r="B9" s="35" t="n">
        <f aca="false">B6+B7+B8</f>
        <v>65</v>
      </c>
      <c r="C9" s="35" t="n">
        <f aca="false">C6+C7+C8</f>
        <v>152</v>
      </c>
      <c r="D9" s="35" t="n">
        <f aca="false">D6+D7+D8</f>
        <v>257</v>
      </c>
      <c r="E9" s="35" t="n">
        <f aca="false">E6+E7+E8</f>
        <v>360</v>
      </c>
      <c r="F9" s="35" t="n">
        <f aca="false">F6+F7+F8</f>
        <v>468</v>
      </c>
    </row>
    <row r="11" customFormat="false" ht="15" hidden="false" customHeight="true" outlineLevel="0" collapsed="false">
      <c r="A11" s="20" t="s">
        <v>152</v>
      </c>
      <c r="B11" s="21"/>
      <c r="C11" s="21"/>
      <c r="D11" s="21"/>
      <c r="E11" s="21"/>
      <c r="F11" s="21"/>
    </row>
    <row r="12" customFormat="false" ht="15" hidden="false" customHeight="true" outlineLevel="0" collapsed="false">
      <c r="A12" s="11" t="s">
        <v>153</v>
      </c>
      <c r="B12" s="36" t="n">
        <f aca="false">AVERAGE(MODELL!B30:M30)</f>
        <v>7.70833333333333</v>
      </c>
      <c r="C12" s="36" t="n">
        <f aca="false">AVERAGE(MODELL!N30:Y30)</f>
        <v>16.5</v>
      </c>
      <c r="D12" s="36" t="n">
        <f aca="false">AVERAGE(MODELL!Z30:AK30)</f>
        <v>27.4166666666667</v>
      </c>
      <c r="E12" s="36" t="n">
        <f aca="false">AVERAGE(MODELL!AL30:AW30)</f>
        <v>36.3333333333333</v>
      </c>
      <c r="F12" s="36" t="n">
        <f aca="false">AVERAGE(MODELL!AX30:BI30)</f>
        <v>44.3333333333333</v>
      </c>
    </row>
    <row r="13" customFormat="false" ht="15" hidden="false" customHeight="true" outlineLevel="0" collapsed="false">
      <c r="A13" s="11" t="s">
        <v>154</v>
      </c>
      <c r="B13" s="36" t="n">
        <f aca="false">AVERAGE(MODELL!B31:M31)</f>
        <v>8.125</v>
      </c>
      <c r="C13" s="36" t="n">
        <f aca="false">AVERAGE(MODELL!N31:Y31)</f>
        <v>28.5416666666667</v>
      </c>
      <c r="D13" s="36" t="n">
        <f aca="false">AVERAGE(MODELL!Z31:AK31)</f>
        <v>58.9583333333333</v>
      </c>
      <c r="E13" s="36" t="n">
        <f aca="false">AVERAGE(MODELL!AL31:AW31)</f>
        <v>93.9583333333333</v>
      </c>
      <c r="F13" s="36" t="n">
        <f aca="false">AVERAGE(MODELL!AX31:BI31)</f>
        <v>131.666666666667</v>
      </c>
    </row>
    <row r="14" customFormat="false" ht="15" hidden="false" customHeight="true" outlineLevel="0" collapsed="false">
      <c r="A14" s="11" t="s">
        <v>155</v>
      </c>
      <c r="B14" s="36" t="n">
        <f aca="false">AVERAGE(MODELL!B39:M39)</f>
        <v>28.5416666666667</v>
      </c>
      <c r="C14" s="36" t="n">
        <f aca="false">AVERAGE(MODELL!N39:Y39)</f>
        <v>67.0833333333333</v>
      </c>
      <c r="D14" s="36" t="n">
        <f aca="false">AVERAGE(MODELL!Z39:AK39)</f>
        <v>122.5</v>
      </c>
      <c r="E14" s="36" t="n">
        <f aca="false">AVERAGE(MODELL!AL39:AW39)</f>
        <v>182.5</v>
      </c>
      <c r="F14" s="36" t="n">
        <f aca="false">AVERAGE(MODELL!AX39:BI39)</f>
        <v>242.5</v>
      </c>
    </row>
    <row r="16" customFormat="false" ht="15" hidden="false" customHeight="true" outlineLevel="0" collapsed="false">
      <c r="A16" s="20" t="s">
        <v>156</v>
      </c>
      <c r="B16" s="21"/>
      <c r="C16" s="21"/>
      <c r="D16" s="21"/>
      <c r="E16" s="21"/>
      <c r="F16" s="21"/>
    </row>
    <row r="17" customFormat="false" ht="15" hidden="false" customHeight="true" outlineLevel="0" collapsed="false">
      <c r="A17" s="11" t="s">
        <v>157</v>
      </c>
      <c r="B17" s="34" t="n">
        <f aca="false">INDEX(INPUT!$B$102:$F$102,1,1)</f>
        <v>50</v>
      </c>
      <c r="C17" s="34" t="n">
        <f aca="false">INDEX(INPUT!$B$102:$F$102,1,2)</f>
        <v>50</v>
      </c>
      <c r="D17" s="34" t="n">
        <f aca="false">INDEX(INPUT!$B$102:$F$102,1,3)</f>
        <v>50</v>
      </c>
      <c r="E17" s="34" t="n">
        <f aca="false">INDEX(INPUT!$B$102:$F$102,1,4)</f>
        <v>50</v>
      </c>
      <c r="F17" s="34" t="n">
        <f aca="false">INDEX(INPUT!$B$102:$F$102,1,5)</f>
        <v>50</v>
      </c>
    </row>
    <row r="18" customFormat="false" ht="15" hidden="false" customHeight="true" outlineLevel="0" collapsed="false">
      <c r="A18" s="11" t="s">
        <v>158</v>
      </c>
      <c r="B18" s="34" t="n">
        <f aca="false">INPUT!$B$34</f>
        <v>24</v>
      </c>
      <c r="C18" s="34" t="n">
        <f aca="false">INPUT!$B$34</f>
        <v>24</v>
      </c>
      <c r="D18" s="34" t="n">
        <f aca="false">INPUT!$B$34</f>
        <v>24</v>
      </c>
      <c r="E18" s="34" t="n">
        <f aca="false">INPUT!$B$34</f>
        <v>24</v>
      </c>
      <c r="F18" s="34" t="n">
        <f aca="false">INPUT!$B$34</f>
        <v>24</v>
      </c>
    </row>
    <row r="19" customFormat="false" ht="15" hidden="false" customHeight="true" outlineLevel="0" collapsed="false">
      <c r="A19" s="11" t="s">
        <v>159</v>
      </c>
      <c r="B19" s="34" t="n">
        <f aca="false">INDEX(INPUT!$B$107:$F$107,1,1)</f>
        <v>5</v>
      </c>
      <c r="C19" s="34" t="n">
        <f aca="false">INDEX(INPUT!$B$107:$F$107,1,2)</f>
        <v>5</v>
      </c>
      <c r="D19" s="34" t="n">
        <f aca="false">INDEX(INPUT!$B$107:$F$107,1,3)</f>
        <v>5</v>
      </c>
      <c r="E19" s="34" t="n">
        <f aca="false">INDEX(INPUT!$B$107:$F$107,1,4)</f>
        <v>5</v>
      </c>
      <c r="F19" s="34" t="n">
        <f aca="false">INDEX(INPUT!$B$107:$F$107,1,5)</f>
        <v>5</v>
      </c>
    </row>
    <row r="20" customFormat="false" ht="15" hidden="false" customHeight="true" outlineLevel="0" collapsed="false">
      <c r="A20" s="11" t="s">
        <v>160</v>
      </c>
      <c r="B20" s="34" t="n">
        <f aca="false">INPUT!$B$35</f>
        <v>9</v>
      </c>
      <c r="C20" s="34" t="n">
        <f aca="false">INPUT!$B$35</f>
        <v>9</v>
      </c>
      <c r="D20" s="34" t="n">
        <f aca="false">INPUT!$B$35</f>
        <v>9</v>
      </c>
      <c r="E20" s="34" t="n">
        <f aca="false">INPUT!$B$35</f>
        <v>9</v>
      </c>
      <c r="F20" s="34" t="n">
        <f aca="false">INPUT!$B$35</f>
        <v>9</v>
      </c>
    </row>
    <row r="21" customFormat="false" ht="15" hidden="false" customHeight="true" outlineLevel="0" collapsed="false">
      <c r="A21" s="11" t="s">
        <v>161</v>
      </c>
      <c r="B21" s="34" t="n">
        <f aca="false">INDEX(INPUT!$B$97:$F$97,1,1)</f>
        <v>8</v>
      </c>
      <c r="C21" s="34" t="n">
        <f aca="false">INDEX(INPUT!$B$97:$F$97,1,2)</f>
        <v>12</v>
      </c>
      <c r="D21" s="34" t="n">
        <f aca="false">INDEX(INPUT!$B$97:$F$97,1,3)</f>
        <v>18</v>
      </c>
      <c r="E21" s="34" t="n">
        <f aca="false">INDEX(INPUT!$B$97:$F$97,1,4)</f>
        <v>22</v>
      </c>
      <c r="F21" s="34" t="n">
        <f aca="false">INDEX(INPUT!$B$97:$F$97,1,5)</f>
        <v>26</v>
      </c>
    </row>
    <row r="22" customFormat="false" ht="15" hidden="false" customHeight="true" outlineLevel="0" collapsed="false">
      <c r="A22" s="11" t="s">
        <v>162</v>
      </c>
      <c r="B22" s="37" t="n">
        <f aca="false">INDEX(INPUT!$B$112:$F$112,1,1)</f>
        <v>1</v>
      </c>
      <c r="C22" s="37" t="n">
        <f aca="false">INDEX(INPUT!$B$112:$F$112,1,2)</f>
        <v>1</v>
      </c>
      <c r="D22" s="37" t="n">
        <f aca="false">INDEX(INPUT!$B$112:$F$112,1,3)</f>
        <v>1</v>
      </c>
      <c r="E22" s="37" t="n">
        <f aca="false">INDEX(INPUT!$B$112:$F$112,1,4)</f>
        <v>1</v>
      </c>
      <c r="F22" s="37" t="n">
        <f aca="false">INDEX(INPUT!$B$112:$F$112,1,5)</f>
        <v>1</v>
      </c>
    </row>
    <row r="23" customFormat="false" ht="15" hidden="false" customHeight="true" outlineLevel="0" collapsed="false">
      <c r="A23" s="11" t="s">
        <v>163</v>
      </c>
      <c r="B23" s="29" t="n">
        <f aca="false">INDEX(INPUT!$B$117:$F$117,1,1)</f>
        <v>0.12</v>
      </c>
      <c r="C23" s="29" t="n">
        <f aca="false">INDEX(INPUT!$B$117:$F$117,1,2)</f>
        <v>0.12</v>
      </c>
      <c r="D23" s="29" t="n">
        <f aca="false">INDEX(INPUT!$B$117:$F$117,1,3)</f>
        <v>0.12</v>
      </c>
      <c r="E23" s="29" t="n">
        <f aca="false">INDEX(INPUT!$B$117:$F$117,1,4)</f>
        <v>0.12</v>
      </c>
      <c r="F23" s="29" t="n">
        <f aca="false">INDEX(INPUT!$B$117:$F$117,1,5)</f>
        <v>0.12</v>
      </c>
    </row>
    <row r="25" customFormat="false" ht="15" hidden="false" customHeight="true" outlineLevel="0" collapsed="false">
      <c r="A25" s="20" t="s">
        <v>164</v>
      </c>
      <c r="B25" s="21"/>
      <c r="C25" s="21"/>
      <c r="D25" s="21"/>
      <c r="E25" s="21"/>
      <c r="F25" s="21"/>
    </row>
    <row r="26" customFormat="false" ht="15" hidden="false" customHeight="true" outlineLevel="0" collapsed="false">
      <c r="A26" s="11" t="s">
        <v>165</v>
      </c>
      <c r="B26" s="26" t="n">
        <f aca="false">SUM(MODELL!B27:M27)</f>
        <v>5678.25108118888</v>
      </c>
      <c r="C26" s="26" t="n">
        <f aca="false">SUM(MODELL!N27:Y27)</f>
        <v>18401.3512207578</v>
      </c>
      <c r="D26" s="26" t="n">
        <f aca="false">SUM(MODELL!Z27:AK27)</f>
        <v>35512.8604039261</v>
      </c>
      <c r="E26" s="26" t="n">
        <f aca="false">SUM(MODELL!AL27:AW27)</f>
        <v>59031.9699566834</v>
      </c>
      <c r="F26" s="26" t="n">
        <f aca="false">SUM(MODELL!AX27:BI27)</f>
        <v>87577.1590066126</v>
      </c>
    </row>
    <row r="27" customFormat="false" ht="15" hidden="false" customHeight="true" outlineLevel="0" collapsed="false">
      <c r="A27" s="11" t="s">
        <v>166</v>
      </c>
      <c r="B27" s="26" t="n">
        <f aca="false">SUM(MODELL!B33:M33)</f>
        <v>5112.5</v>
      </c>
      <c r="C27" s="26" t="n">
        <f aca="false">SUM(MODELL!N33:Y33)</f>
        <v>11612.5</v>
      </c>
      <c r="D27" s="26" t="n">
        <f aca="false">SUM(MODELL!Z33:AK33)</f>
        <v>19987.5</v>
      </c>
      <c r="E27" s="26" t="n">
        <f aca="false">SUM(MODELL!AL33:AW33)</f>
        <v>27437.5</v>
      </c>
      <c r="F27" s="26" t="n">
        <f aca="false">SUM(MODELL!AX33:BI33)</f>
        <v>34500</v>
      </c>
    </row>
    <row r="28" customFormat="false" ht="15" hidden="false" customHeight="true" outlineLevel="0" collapsed="false">
      <c r="A28" s="11" t="s">
        <v>167</v>
      </c>
      <c r="B28" s="26" t="n">
        <f aca="false">SUM(MODELL!B32:M32)</f>
        <v>3097.5</v>
      </c>
      <c r="C28" s="26" t="n">
        <f aca="false">SUM(MODELL!N32:Y32)</f>
        <v>7834.5</v>
      </c>
      <c r="D28" s="26" t="n">
        <f aca="false">SUM(MODELL!Z32:AK32)</f>
        <v>14263.5</v>
      </c>
      <c r="E28" s="26" t="n">
        <f aca="false">SUM(MODELL!AL32:AW32)</f>
        <v>20611.5</v>
      </c>
      <c r="F28" s="26" t="n">
        <f aca="false">SUM(MODELL!AX32:BI32)</f>
        <v>26988</v>
      </c>
    </row>
    <row r="29" customFormat="false" ht="15" hidden="false" customHeight="true" outlineLevel="0" collapsed="false">
      <c r="A29" s="11" t="s">
        <v>168</v>
      </c>
      <c r="B29" s="26" t="n">
        <f aca="false">SUM(MODELL!B40:M40)</f>
        <v>2740</v>
      </c>
      <c r="C29" s="26" t="n">
        <f aca="false">SUM(MODELL!N40:Y40)</f>
        <v>9660</v>
      </c>
      <c r="D29" s="26" t="n">
        <f aca="false">SUM(MODELL!Z40:AK40)</f>
        <v>26460</v>
      </c>
      <c r="E29" s="26" t="n">
        <f aca="false">SUM(MODELL!AL40:AW40)</f>
        <v>48180</v>
      </c>
      <c r="F29" s="26" t="n">
        <f aca="false">SUM(MODELL!AX40:BI40)</f>
        <v>75660</v>
      </c>
    </row>
    <row r="30" customFormat="false" ht="15" hidden="false" customHeight="true" outlineLevel="0" collapsed="false">
      <c r="A30" s="11" t="s">
        <v>169</v>
      </c>
      <c r="B30" s="26" t="n">
        <f aca="false">SUM(MODELL!B44:M44)</f>
        <v>422.348257672803</v>
      </c>
      <c r="C30" s="26" t="n">
        <f aca="false">SUM(MODELL!N44:Y44)</f>
        <v>1624.1866009891</v>
      </c>
      <c r="D30" s="26" t="n">
        <f aca="false">SUM(MODELL!Z44:AK44)</f>
        <v>3513.79241255554</v>
      </c>
      <c r="E30" s="26" t="n">
        <f aca="false">SUM(MODELL!AL44:AW44)</f>
        <v>5698.43372854584</v>
      </c>
      <c r="F30" s="26" t="n">
        <f aca="false">SUM(MODELL!AX44:BI44)</f>
        <v>7890.76410978034</v>
      </c>
    </row>
    <row r="31" customFormat="false" ht="15" hidden="false" customHeight="true" outlineLevel="0" collapsed="false">
      <c r="A31" s="27" t="s">
        <v>170</v>
      </c>
      <c r="B31" s="28" t="n">
        <f aca="false">SUM(MODELL!B49:M49)</f>
        <v>13953.0993388617</v>
      </c>
      <c r="C31" s="28" t="n">
        <f aca="false">SUM(MODELL!N49:Y49)</f>
        <v>41298.0378217469</v>
      </c>
      <c r="D31" s="28" t="n">
        <f aca="false">SUM(MODELL!Z49:AK49)</f>
        <v>85474.1528164816</v>
      </c>
      <c r="E31" s="28" t="n">
        <f aca="false">SUM(MODELL!AL49:AW49)</f>
        <v>140347.903685229</v>
      </c>
      <c r="F31" s="28" t="n">
        <f aca="false">SUM(MODELL!AX49:BI49)</f>
        <v>205627.923116393</v>
      </c>
    </row>
    <row r="32" customFormat="false" ht="15" hidden="false" customHeight="true" outlineLevel="0" collapsed="false">
      <c r="A32" s="6" t="s">
        <v>171</v>
      </c>
      <c r="B32" s="22" t="n">
        <f aca="false">B26+B27+B29+B30-B31</f>
        <v>0</v>
      </c>
      <c r="C32" s="22" t="n">
        <f aca="false">C26+C27+C29+C30-C31</f>
        <v>0</v>
      </c>
      <c r="D32" s="22" t="n">
        <f aca="false">D26+D27+D29+D30-D31</f>
        <v>0</v>
      </c>
      <c r="E32" s="22" t="n">
        <f aca="false">E26+E27+E29+E30-E31</f>
        <v>0</v>
      </c>
      <c r="F32" s="22" t="n">
        <f aca="false">F26+F27+F29+F30-F31</f>
        <v>0</v>
      </c>
    </row>
    <row r="33" customFormat="false" ht="15" hidden="false" customHeight="true" outlineLevel="0" collapsed="false">
      <c r="A33" s="6" t="s">
        <v>172</v>
      </c>
      <c r="B33" s="23" t="n">
        <f aca="false">IF(B31=0,0,B26/B31)</f>
        <v>0.406952673616679</v>
      </c>
      <c r="C33" s="23" t="n">
        <f aca="false">IF(C31=0,0,C26/C31)</f>
        <v>0.445574467730956</v>
      </c>
      <c r="D33" s="23" t="n">
        <f aca="false">IF(D31=0,0,D26/D31)</f>
        <v>0.415480694850225</v>
      </c>
      <c r="E33" s="23" t="n">
        <f aca="false">IF(E31=0,0,E26/E31)</f>
        <v>0.420611697122885</v>
      </c>
      <c r="F33" s="23" t="n">
        <f aca="false">IF(F31=0,0,F26/F31)</f>
        <v>0.425901101753777</v>
      </c>
    </row>
    <row r="34" customFormat="false" ht="15" hidden="false" customHeight="true" outlineLevel="0" collapsed="false">
      <c r="A34" s="6" t="s">
        <v>173</v>
      </c>
      <c r="B34" s="23" t="n">
        <f aca="false">IF(B31=0,0,(B27+B29)/B31)</f>
        <v>0.562778190658293</v>
      </c>
      <c r="C34" s="23" t="n">
        <f aca="false">IF(C31=0,0,(C27+C29)/C31)</f>
        <v>0.515097111679196</v>
      </c>
      <c r="D34" s="23" t="n">
        <f aca="false">IF(D31=0,0,(D27+D29)/D31)</f>
        <v>0.543409890235773</v>
      </c>
      <c r="E34" s="23" t="n">
        <f aca="false">IF(E31=0,0,(E27+E29)/E31)</f>
        <v>0.53878610235315</v>
      </c>
      <c r="F34" s="23" t="n">
        <f aca="false">IF(F31=0,0,(F27+F29)/F31)</f>
        <v>0.535724907057712</v>
      </c>
    </row>
    <row r="35" customFormat="false" ht="15" hidden="false" customHeight="true" outlineLevel="0" collapsed="false">
      <c r="A35" s="6" t="s">
        <v>174</v>
      </c>
      <c r="B35" s="23" t="n">
        <f aca="false">IF(B31=0,0,B30/B31)</f>
        <v>0.0302691357250281</v>
      </c>
      <c r="C35" s="23" t="n">
        <f aca="false">IF(C31=0,0,C30/C31)</f>
        <v>0.0393284205898477</v>
      </c>
      <c r="D35" s="23" t="n">
        <f aca="false">IF(D31=0,0,D30/D31)</f>
        <v>0.0411094149140019</v>
      </c>
      <c r="E35" s="23" t="n">
        <f aca="false">IF(E31=0,0,E30/E31)</f>
        <v>0.0406022005239652</v>
      </c>
      <c r="F35" s="23" t="n">
        <f aca="false">IF(F31=0,0,F30/F31)</f>
        <v>0.0383739911885113</v>
      </c>
    </row>
    <row r="37" customFormat="false" ht="15" hidden="false" customHeight="true" outlineLevel="0" collapsed="false">
      <c r="A37" s="20" t="s">
        <v>175</v>
      </c>
      <c r="B37" s="21"/>
      <c r="C37" s="21"/>
      <c r="D37" s="21"/>
      <c r="E37" s="21"/>
      <c r="F37" s="21"/>
    </row>
    <row r="38" customFormat="false" ht="15" hidden="false" customHeight="true" outlineLevel="0" collapsed="false">
      <c r="A38" s="11" t="s">
        <v>176</v>
      </c>
      <c r="B38" s="26" t="n">
        <f aca="false">SUM(MODELL!B22:M22)</f>
        <v>1846.15384615385</v>
      </c>
      <c r="C38" s="26" t="n">
        <f aca="false">SUM(MODELL!N22:Y22)</f>
        <v>4285.71428571429</v>
      </c>
      <c r="D38" s="26" t="n">
        <f aca="false">SUM(MODELL!Z22:AK22)</f>
        <v>6666.66666666667</v>
      </c>
      <c r="E38" s="26" t="n">
        <f aca="false">SUM(MODELL!AL22:AW22)</f>
        <v>10256.4102564103</v>
      </c>
      <c r="F38" s="26" t="n">
        <f aca="false">SUM(MODELL!AX22:BI22)</f>
        <v>13750</v>
      </c>
    </row>
    <row r="39" customFormat="false" ht="15" hidden="false" customHeight="true" outlineLevel="0" collapsed="false">
      <c r="A39" s="11" t="s">
        <v>177</v>
      </c>
      <c r="B39" s="26" t="n">
        <f aca="false">MODELL!M23+MODELL!M24</f>
        <v>604.01751843121</v>
      </c>
      <c r="C39" s="26" t="n">
        <f aca="false">MODELL!Y23+MODELL!Y24</f>
        <v>1700.88417394438</v>
      </c>
      <c r="D39" s="26" t="n">
        <f aca="false">MODELL!AK23+MODELL!AK24</f>
        <v>3063.30987023919</v>
      </c>
      <c r="E39" s="26" t="n">
        <f aca="false">MODELL!AW23+MODELL!AW24</f>
        <v>5004.83867849802</v>
      </c>
      <c r="F39" s="26" t="n">
        <f aca="false">MODELL!BI23+MODELL!BI24</f>
        <v>7243.32680953544</v>
      </c>
    </row>
    <row r="40" customFormat="false" ht="15" hidden="false" customHeight="true" outlineLevel="0" collapsed="false">
      <c r="A40" s="11" t="s">
        <v>178</v>
      </c>
      <c r="B40" s="26" t="n">
        <f aca="false">MODELL!M43</f>
        <v>79.4132090792636</v>
      </c>
      <c r="C40" s="26" t="n">
        <f aca="false">MODELL!Y43</f>
        <v>213.559816960572</v>
      </c>
      <c r="D40" s="26" t="n">
        <f aca="false">MODELL!AK43</f>
        <v>390.971727453907</v>
      </c>
      <c r="E40" s="26" t="n">
        <f aca="false">MODELL!AW43</f>
        <v>572.842680028406</v>
      </c>
      <c r="F40" s="26" t="n">
        <f aca="false">MODELL!BI43</f>
        <v>759.446986854765</v>
      </c>
    </row>
    <row r="42" customFormat="false" ht="15" hidden="false" customHeight="true" outlineLevel="0" collapsed="false">
      <c r="A42" s="20" t="s">
        <v>179</v>
      </c>
      <c r="B42" s="21"/>
      <c r="C42" s="21"/>
      <c r="D42" s="21"/>
      <c r="E42" s="21"/>
      <c r="F42" s="21"/>
    </row>
    <row r="43" customFormat="false" ht="15" hidden="false" customHeight="true" outlineLevel="0" collapsed="false">
      <c r="A43" s="11" t="s">
        <v>180</v>
      </c>
      <c r="B43" s="30" t="n">
        <f aca="false">INPUT!$B$19</f>
        <v>40</v>
      </c>
      <c r="C43" s="30" t="n">
        <f aca="false">INPUT!$B$19</f>
        <v>40</v>
      </c>
      <c r="D43" s="30" t="n">
        <f aca="false">INPUT!$B$19</f>
        <v>40</v>
      </c>
      <c r="E43" s="30" t="n">
        <f aca="false">INPUT!$B$19</f>
        <v>40</v>
      </c>
      <c r="F43" s="30" t="n">
        <f aca="false">INPUT!$B$19</f>
        <v>40</v>
      </c>
    </row>
    <row r="44" customFormat="false" ht="15" hidden="false" customHeight="true" outlineLevel="0" collapsed="false">
      <c r="A44" s="11" t="s">
        <v>181</v>
      </c>
      <c r="B44" s="26" t="n">
        <f aca="false">INPUT!$B$68</f>
        <v>1000</v>
      </c>
      <c r="C44" s="26" t="n">
        <f aca="false">INPUT!$B$68</f>
        <v>1000</v>
      </c>
      <c r="D44" s="26" t="n">
        <f aca="false">INPUT!$B$68</f>
        <v>1000</v>
      </c>
      <c r="E44" s="26" t="n">
        <f aca="false">INPUT!$B$68</f>
        <v>1000</v>
      </c>
      <c r="F44" s="26" t="n">
        <f aca="false">INPUT!$B$68</f>
        <v>1000</v>
      </c>
    </row>
    <row r="45" customFormat="false" ht="15" hidden="false" customHeight="true" outlineLevel="0" collapsed="false">
      <c r="A45" s="11" t="s">
        <v>182</v>
      </c>
      <c r="B45" s="26" t="n">
        <f aca="false">SUM(MODELL!B77:M77)</f>
        <v>11000</v>
      </c>
      <c r="C45" s="26" t="n">
        <f aca="false">SUM(MODELL!N77:Y77)</f>
        <v>27000</v>
      </c>
      <c r="D45" s="26" t="n">
        <f aca="false">SUM(MODELL!Z77:AK77)</f>
        <v>53000</v>
      </c>
      <c r="E45" s="26" t="n">
        <f aca="false">SUM(MODELL!AL77:AW77)</f>
        <v>81000</v>
      </c>
      <c r="F45" s="26" t="n">
        <f aca="false">SUM(MODELL!AX77:BI77)</f>
        <v>80000</v>
      </c>
    </row>
    <row r="46" customFormat="false" ht="15" hidden="false" customHeight="true" outlineLevel="0" collapsed="false">
      <c r="A46" s="11" t="s">
        <v>183</v>
      </c>
      <c r="B46" s="26" t="n">
        <f aca="false">MODELL!M78</f>
        <v>8046.90066113832</v>
      </c>
      <c r="C46" s="26" t="n">
        <f aca="false">MODELL!Y78</f>
        <v>17748.8628393915</v>
      </c>
      <c r="D46" s="26" t="n">
        <f aca="false">MODELL!AK78</f>
        <v>31274.7100229098</v>
      </c>
      <c r="E46" s="26" t="n">
        <f aca="false">MODELL!AW78</f>
        <v>46926.8063376806</v>
      </c>
      <c r="F46" s="26" t="n">
        <f aca="false">MODELL!BI78</f>
        <v>19298.8832212876</v>
      </c>
    </row>
  </sheetData>
  <mergeCells count="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0"/>
    <col collapsed="false" customWidth="true" hidden="false" outlineLevel="0" max="9" min="2" style="1" width="13"/>
    <col collapsed="false" customWidth="true" hidden="false" outlineLevel="0" max="10" min="10" style="1" width="48"/>
  </cols>
  <sheetData>
    <row r="1" customFormat="false" ht="15.75" hidden="false" customHeight="true" outlineLevel="0" collapsed="false">
      <c r="A1" s="14" t="s">
        <v>184</v>
      </c>
    </row>
    <row r="2" customFormat="false" ht="36" hidden="false" customHeight="true" outlineLevel="0" collapsed="false">
      <c r="A2" s="24" t="s">
        <v>185</v>
      </c>
      <c r="B2" s="24"/>
      <c r="C2" s="24"/>
      <c r="D2" s="24"/>
      <c r="E2" s="24"/>
      <c r="F2" s="24"/>
      <c r="G2" s="24"/>
      <c r="H2" s="24"/>
      <c r="I2" s="24"/>
      <c r="J2" s="24"/>
    </row>
    <row r="4" customFormat="false" ht="15" hidden="false" customHeight="true" outlineLevel="0" collapsed="false">
      <c r="A4" s="20" t="s">
        <v>186</v>
      </c>
      <c r="B4" s="21"/>
      <c r="C4" s="21"/>
      <c r="D4" s="21"/>
      <c r="E4" s="21"/>
      <c r="F4" s="21"/>
      <c r="G4" s="21"/>
      <c r="H4" s="21"/>
      <c r="I4" s="21"/>
      <c r="J4" s="21"/>
    </row>
    <row r="5" customFormat="false" ht="30" hidden="false" customHeight="true" outlineLevel="0" collapsed="false">
      <c r="A5" s="15"/>
      <c r="B5" s="25" t="s">
        <v>187</v>
      </c>
      <c r="C5" s="25" t="s">
        <v>188</v>
      </c>
    </row>
    <row r="6" customFormat="false" ht="15" hidden="false" customHeight="true" outlineLevel="0" collapsed="false">
      <c r="A6" s="11" t="s">
        <v>189</v>
      </c>
      <c r="B6" s="30" t="n">
        <f aca="false">INPUT!$B$8</f>
        <v>149</v>
      </c>
      <c r="C6" s="30" t="s">
        <v>190</v>
      </c>
    </row>
    <row r="7" customFormat="false" ht="15" hidden="false" customHeight="true" outlineLevel="0" collapsed="false">
      <c r="A7" s="11" t="s">
        <v>191</v>
      </c>
      <c r="B7" s="29" t="n">
        <f aca="false">INPUT!$B$9</f>
        <v>0.1</v>
      </c>
      <c r="C7" s="29"/>
    </row>
    <row r="8" customFormat="false" ht="15" hidden="false" customHeight="true" outlineLevel="0" collapsed="false">
      <c r="A8" s="4" t="s">
        <v>192</v>
      </c>
      <c r="B8" s="31" t="n">
        <f aca="false">INPUT!$B$10</f>
        <v>135.454545454545</v>
      </c>
      <c r="C8" s="31" t="s">
        <v>190</v>
      </c>
    </row>
    <row r="9" customFormat="false" ht="15" hidden="false" customHeight="true" outlineLevel="0" collapsed="false">
      <c r="A9" s="11" t="s">
        <v>193</v>
      </c>
      <c r="B9" s="30" t="n">
        <f aca="false">INPUT!$B$15</f>
        <v>12</v>
      </c>
      <c r="C9" s="30" t="n">
        <f aca="false">INPUT!$B$16</f>
        <v>10.9090909090909</v>
      </c>
    </row>
    <row r="10" customFormat="false" ht="15" hidden="false" customHeight="true" outlineLevel="0" collapsed="false">
      <c r="A10" s="11" t="s">
        <v>53</v>
      </c>
      <c r="B10" s="30" t="n">
        <f aca="false">INPUT!$B$19</f>
        <v>40</v>
      </c>
      <c r="C10" s="30" t="s">
        <v>190</v>
      </c>
    </row>
    <row r="11" customFormat="false" ht="15" hidden="false" customHeight="true" outlineLevel="0" collapsed="false">
      <c r="A11" s="11" t="s">
        <v>194</v>
      </c>
      <c r="B11" s="30" t="n">
        <f aca="false">INPUT!$B$22</f>
        <v>1.6</v>
      </c>
      <c r="C11" s="30" t="s">
        <v>190</v>
      </c>
    </row>
    <row r="13" customFormat="false" ht="15" hidden="false" customHeight="true" outlineLevel="0" collapsed="false">
      <c r="A13" s="20" t="s">
        <v>195</v>
      </c>
      <c r="B13" s="21"/>
      <c r="C13" s="21"/>
      <c r="D13" s="21"/>
      <c r="E13" s="21"/>
      <c r="F13" s="21"/>
      <c r="G13" s="21"/>
      <c r="H13" s="21"/>
      <c r="I13" s="21"/>
      <c r="J13" s="21"/>
    </row>
    <row r="14" customFormat="false" ht="30" hidden="false" customHeight="true" outlineLevel="0" collapsed="false">
      <c r="A14" s="15" t="s">
        <v>196</v>
      </c>
      <c r="B14" s="25" t="s">
        <v>197</v>
      </c>
      <c r="C14" s="25" t="s">
        <v>198</v>
      </c>
      <c r="D14" s="25" t="s">
        <v>199</v>
      </c>
      <c r="E14" s="25" t="s">
        <v>200</v>
      </c>
      <c r="F14" s="25" t="s">
        <v>201</v>
      </c>
      <c r="G14" s="25" t="s">
        <v>202</v>
      </c>
      <c r="H14" s="25" t="s">
        <v>203</v>
      </c>
      <c r="I14" s="25" t="s">
        <v>204</v>
      </c>
      <c r="J14" s="25" t="s">
        <v>205</v>
      </c>
    </row>
    <row r="15" customFormat="false" ht="15" hidden="false" customHeight="true" outlineLevel="0" collapsed="false">
      <c r="A15" s="11" t="s">
        <v>206</v>
      </c>
      <c r="B15" s="34" t="s">
        <v>207</v>
      </c>
      <c r="C15" s="29" t="n">
        <f aca="false">INPUT!$B$40</f>
        <v>0.3</v>
      </c>
      <c r="D15" s="38" t="s">
        <v>208</v>
      </c>
      <c r="E15" s="30" t="n">
        <f aca="false">$B$8*C15</f>
        <v>40.6363636363636</v>
      </c>
      <c r="F15" s="30" t="n">
        <f aca="false">$B$8*(1-C15)</f>
        <v>94.8181818181818</v>
      </c>
      <c r="G15" s="30" t="n">
        <f aca="false">$B$10</f>
        <v>40</v>
      </c>
      <c r="H15" s="30" t="n">
        <f aca="false">$B$11</f>
        <v>1.6</v>
      </c>
      <c r="I15" s="30" t="n">
        <f aca="false">F15-G15-H15</f>
        <v>53.2181818181818</v>
      </c>
      <c r="J15" s="29" t="n">
        <f aca="false">IF(F15=0,0,I15/F15)</f>
        <v>0.561265580057526</v>
      </c>
    </row>
    <row r="16" customFormat="false" ht="15" hidden="false" customHeight="true" outlineLevel="0" collapsed="false">
      <c r="A16" s="11" t="s">
        <v>209</v>
      </c>
      <c r="B16" s="39" t="n">
        <v>50</v>
      </c>
      <c r="C16" s="29" t="n">
        <f aca="false">INPUT!$B$44</f>
        <v>0.35</v>
      </c>
      <c r="D16" s="30" t="n">
        <f aca="false">$B$8*(1-C16)</f>
        <v>88.0454545454545</v>
      </c>
      <c r="E16" s="30" t="n">
        <f aca="false">$B$8-D16</f>
        <v>47.4090909090909</v>
      </c>
      <c r="F16" s="30" t="n">
        <f aca="false">D16</f>
        <v>88.0454545454545</v>
      </c>
      <c r="G16" s="30" t="n">
        <f aca="false">$B$10</f>
        <v>40</v>
      </c>
      <c r="H16" s="30" t="n">
        <f aca="false">$B$11</f>
        <v>1.6</v>
      </c>
      <c r="I16" s="30" t="n">
        <f aca="false">F16-G16-H16</f>
        <v>46.4454545454545</v>
      </c>
      <c r="J16" s="29" t="n">
        <f aca="false">IF(F16=0,0,I16/F16)</f>
        <v>0.52751677852349</v>
      </c>
    </row>
    <row r="17" customFormat="false" ht="15" hidden="false" customHeight="true" outlineLevel="0" collapsed="false">
      <c r="A17" s="11" t="s">
        <v>210</v>
      </c>
      <c r="B17" s="39" t="n">
        <v>250</v>
      </c>
      <c r="C17" s="29" t="n">
        <f aca="false">INPUT!$C$44</f>
        <v>0.4</v>
      </c>
      <c r="D17" s="30" t="n">
        <f aca="false">$B$8*(1-C17)</f>
        <v>81.2727272727273</v>
      </c>
      <c r="E17" s="30" t="n">
        <f aca="false">$B$8-D17</f>
        <v>54.1818181818182</v>
      </c>
      <c r="F17" s="30" t="n">
        <f aca="false">D17</f>
        <v>81.2727272727273</v>
      </c>
      <c r="G17" s="30" t="n">
        <f aca="false">$B$10</f>
        <v>40</v>
      </c>
      <c r="H17" s="30" t="n">
        <f aca="false">$B$11</f>
        <v>1.6</v>
      </c>
      <c r="I17" s="30" t="n">
        <f aca="false">F17-G17-H17</f>
        <v>39.6727272727273</v>
      </c>
      <c r="J17" s="29" t="n">
        <f aca="false">IF(F17=0,0,I17/F17)</f>
        <v>0.488143176733781</v>
      </c>
    </row>
    <row r="18" customFormat="false" ht="15" hidden="false" customHeight="true" outlineLevel="0" collapsed="false">
      <c r="A18" s="11" t="s">
        <v>211</v>
      </c>
      <c r="B18" s="39" t="n">
        <v>1000</v>
      </c>
      <c r="C18" s="29" t="n">
        <f aca="false">INPUT!$D$44</f>
        <v>0.5</v>
      </c>
      <c r="D18" s="30" t="n">
        <f aca="false">$B$8*(1-C18)</f>
        <v>67.7272727272727</v>
      </c>
      <c r="E18" s="30" t="n">
        <f aca="false">$B$8-D18</f>
        <v>67.7272727272727</v>
      </c>
      <c r="F18" s="30" t="n">
        <f aca="false">D18</f>
        <v>67.7272727272727</v>
      </c>
      <c r="G18" s="30" t="n">
        <f aca="false">$B$10</f>
        <v>40</v>
      </c>
      <c r="H18" s="30" t="n">
        <f aca="false">$B$11</f>
        <v>1.6</v>
      </c>
      <c r="I18" s="30" t="n">
        <f aca="false">F18-G18-H18</f>
        <v>26.1272727272727</v>
      </c>
      <c r="J18" s="29" t="n">
        <f aca="false">IF(F18=0,0,I18/F18)</f>
        <v>0.385771812080537</v>
      </c>
    </row>
    <row r="19" customFormat="false" ht="51.75" hidden="false" customHeight="true" outlineLevel="0" collapsed="false">
      <c r="A19" s="33" t="s">
        <v>212</v>
      </c>
      <c r="B19" s="33"/>
      <c r="C19" s="33"/>
      <c r="D19" s="33"/>
      <c r="E19" s="33"/>
      <c r="F19" s="33"/>
      <c r="G19" s="33"/>
      <c r="H19" s="33"/>
      <c r="I19" s="33"/>
      <c r="J19" s="33"/>
    </row>
    <row r="21" customFormat="false" ht="15" hidden="false" customHeight="true" outlineLevel="0" collapsed="false">
      <c r="A21" s="20" t="s">
        <v>213</v>
      </c>
      <c r="B21" s="21"/>
      <c r="C21" s="21"/>
      <c r="D21" s="21"/>
      <c r="E21" s="21"/>
      <c r="F21" s="21"/>
      <c r="G21" s="21"/>
      <c r="H21" s="21"/>
      <c r="I21" s="21"/>
      <c r="J21" s="21"/>
    </row>
    <row r="22" customFormat="false" ht="30" hidden="false" customHeight="true" outlineLevel="0" collapsed="false">
      <c r="A22" s="15"/>
      <c r="B22" s="25" t="s">
        <v>5</v>
      </c>
      <c r="C22" s="25" t="s">
        <v>6</v>
      </c>
      <c r="D22" s="25" t="s">
        <v>7</v>
      </c>
      <c r="E22" s="25" t="s">
        <v>8</v>
      </c>
      <c r="F22" s="25" t="s">
        <v>9</v>
      </c>
    </row>
    <row r="23" customFormat="false" ht="15" hidden="false" customHeight="true" outlineLevel="0" collapsed="false">
      <c r="A23" s="11" t="s">
        <v>214</v>
      </c>
      <c r="B23" s="29" t="n">
        <f aca="false">INDEX(INPUT!$B$44:$F$44,1,1)</f>
        <v>0.35</v>
      </c>
      <c r="C23" s="29" t="n">
        <f aca="false">INDEX(INPUT!$B$44:$F$44,1,2)</f>
        <v>0.4</v>
      </c>
      <c r="D23" s="29" t="n">
        <f aca="false">INDEX(INPUT!$B$44:$F$44,1,3)</f>
        <v>0.5</v>
      </c>
      <c r="E23" s="29" t="n">
        <f aca="false">INDEX(INPUT!$B$44:$F$44,1,4)</f>
        <v>0.5</v>
      </c>
      <c r="F23" s="29" t="n">
        <f aca="false">INDEX(INPUT!$B$44:$F$44,1,5)</f>
        <v>0.5</v>
      </c>
    </row>
    <row r="24" customFormat="false" ht="15" hidden="false" customHeight="true" outlineLevel="0" collapsed="false">
      <c r="A24" s="4" t="s">
        <v>137</v>
      </c>
      <c r="B24" s="31" t="n">
        <f aca="false">$B$8*(1-B23)</f>
        <v>88.0454545454545</v>
      </c>
      <c r="C24" s="31" t="n">
        <f aca="false">$B$8*(1-C23)</f>
        <v>81.2727272727273</v>
      </c>
      <c r="D24" s="31" t="n">
        <f aca="false">$B$8*(1-D23)</f>
        <v>67.7272727272727</v>
      </c>
      <c r="E24" s="31" t="n">
        <f aca="false">$B$8*(1-E23)</f>
        <v>67.7272727272727</v>
      </c>
      <c r="F24" s="31" t="n">
        <f aca="false">$B$8*(1-F23)</f>
        <v>67.7272727272727</v>
      </c>
    </row>
    <row r="25" customFormat="false" ht="15" hidden="false" customHeight="true" outlineLevel="0" collapsed="false">
      <c r="A25" s="11" t="s">
        <v>138</v>
      </c>
      <c r="B25" s="30" t="n">
        <f aca="false">$B$8-B24</f>
        <v>47.4090909090909</v>
      </c>
      <c r="C25" s="30" t="n">
        <f aca="false">$B$8-C24</f>
        <v>54.1818181818182</v>
      </c>
      <c r="D25" s="30" t="n">
        <f aca="false">$B$8-D24</f>
        <v>67.7272727272727</v>
      </c>
      <c r="E25" s="30" t="n">
        <f aca="false">$B$8-E24</f>
        <v>67.7272727272727</v>
      </c>
      <c r="F25" s="30" t="n">
        <f aca="false">$B$8-F24</f>
        <v>67.7272727272727</v>
      </c>
    </row>
    <row r="26" customFormat="false" ht="15" hidden="false" customHeight="true" outlineLevel="0" collapsed="false">
      <c r="A26" s="27" t="s">
        <v>215</v>
      </c>
      <c r="B26" s="32" t="n">
        <f aca="false">B24-$B$10-$B$11</f>
        <v>46.4454545454545</v>
      </c>
      <c r="C26" s="32" t="n">
        <f aca="false">C24-$B$10-$B$11</f>
        <v>39.6727272727273</v>
      </c>
      <c r="D26" s="32" t="n">
        <f aca="false">D24-$B$10-$B$11</f>
        <v>26.1272727272727</v>
      </c>
      <c r="E26" s="32" t="n">
        <f aca="false">E24-$B$10-$B$11</f>
        <v>26.1272727272727</v>
      </c>
      <c r="F26" s="32" t="n">
        <f aca="false">F24-$B$10-$B$11</f>
        <v>26.1272727272727</v>
      </c>
    </row>
    <row r="27" customFormat="false" ht="27.75" hidden="false" customHeight="true" outlineLevel="0" collapsed="false">
      <c r="A27" s="33" t="s">
        <v>216</v>
      </c>
      <c r="B27" s="33"/>
      <c r="C27" s="33"/>
      <c r="D27" s="33"/>
      <c r="E27" s="33"/>
      <c r="F27" s="33"/>
      <c r="G27" s="33"/>
      <c r="H27" s="33"/>
      <c r="I27" s="33"/>
      <c r="J27" s="33"/>
    </row>
    <row r="29" customFormat="false" ht="15" hidden="false" customHeight="true" outlineLevel="0" collapsed="false">
      <c r="A29" s="20" t="s">
        <v>217</v>
      </c>
      <c r="B29" s="21"/>
      <c r="C29" s="21"/>
      <c r="D29" s="21"/>
      <c r="E29" s="21"/>
      <c r="F29" s="21"/>
      <c r="G29" s="21"/>
      <c r="H29" s="21"/>
      <c r="I29" s="21"/>
      <c r="J29" s="21"/>
    </row>
    <row r="30" customFormat="false" ht="30" hidden="false" customHeight="true" outlineLevel="0" collapsed="false">
      <c r="A30" s="15"/>
      <c r="B30" s="25" t="s">
        <v>187</v>
      </c>
      <c r="C30" s="25" t="s">
        <v>188</v>
      </c>
      <c r="D30" s="25" t="s">
        <v>218</v>
      </c>
    </row>
    <row r="31" customFormat="false" ht="15" hidden="false" customHeight="true" outlineLevel="0" collapsed="false">
      <c r="A31" s="11" t="s">
        <v>219</v>
      </c>
      <c r="B31" s="29" t="n">
        <f aca="false">INPUT!$B$40</f>
        <v>0.3</v>
      </c>
      <c r="C31" s="29"/>
      <c r="D31" s="29" t="s">
        <v>220</v>
      </c>
    </row>
    <row r="32" customFormat="false" ht="15" hidden="false" customHeight="true" outlineLevel="0" collapsed="false">
      <c r="A32" s="11" t="s">
        <v>221</v>
      </c>
      <c r="B32" s="29" t="n">
        <v>0.5</v>
      </c>
      <c r="C32" s="29"/>
      <c r="D32" s="29" t="s">
        <v>222</v>
      </c>
    </row>
    <row r="33" customFormat="false" ht="15" hidden="false" customHeight="true" outlineLevel="0" collapsed="false">
      <c r="A33" s="11" t="s">
        <v>223</v>
      </c>
      <c r="B33" s="29" t="n">
        <f aca="false">INPUT!$B$36</f>
        <v>0.15</v>
      </c>
      <c r="C33" s="29"/>
      <c r="D33" s="29" t="s">
        <v>224</v>
      </c>
    </row>
    <row r="34" customFormat="false" ht="15" hidden="false" customHeight="true" outlineLevel="0" collapsed="false">
      <c r="A34" s="11" t="s">
        <v>225</v>
      </c>
      <c r="B34" s="29" t="n">
        <f aca="false">INPUT!$B$37</f>
        <v>0.05</v>
      </c>
      <c r="C34" s="29"/>
      <c r="D34" s="29" t="s">
        <v>226</v>
      </c>
    </row>
    <row r="35" customFormat="false" ht="15" hidden="false" customHeight="true" outlineLevel="0" collapsed="false">
      <c r="A35" s="11" t="s">
        <v>227</v>
      </c>
      <c r="B35" s="29" t="n">
        <f aca="false">INPUT!$B$41</f>
        <v>0.1</v>
      </c>
      <c r="C35" s="29"/>
      <c r="D35" s="29" t="s">
        <v>228</v>
      </c>
    </row>
    <row r="36" customFormat="false" ht="15" hidden="false" customHeight="true" outlineLevel="0" collapsed="false">
      <c r="A36" s="11" t="s">
        <v>229</v>
      </c>
      <c r="B36" s="36" t="n">
        <f aca="false">KPI!$B$8</f>
        <v>3.91666666666667</v>
      </c>
      <c r="C36" s="36" t="s">
        <v>230</v>
      </c>
      <c r="D36" s="36" t="s">
        <v>231</v>
      </c>
    </row>
    <row r="37" customFormat="false" ht="15" hidden="false" customHeight="true" outlineLevel="0" collapsed="false">
      <c r="A37" s="4" t="s">
        <v>232</v>
      </c>
      <c r="B37" s="31" t="n">
        <f aca="false">$B$8*B35*B36</f>
        <v>53.0530303030303</v>
      </c>
      <c r="C37" s="31" t="s">
        <v>190</v>
      </c>
      <c r="D37" s="31" t="s">
        <v>233</v>
      </c>
    </row>
    <row r="38" customFormat="false" ht="15" hidden="false" customHeight="true" outlineLevel="0" collapsed="false">
      <c r="A38" s="11" t="s">
        <v>234</v>
      </c>
      <c r="B38" s="29" t="n">
        <f aca="false">INPUT!$B$114</f>
        <v>0.12</v>
      </c>
      <c r="C38" s="29"/>
      <c r="D38" s="29" t="s">
        <v>235</v>
      </c>
    </row>
    <row r="39" customFormat="false" ht="15" hidden="false" customHeight="true" outlineLevel="0" collapsed="false">
      <c r="A39" s="11" t="s">
        <v>236</v>
      </c>
      <c r="B39" s="30" t="n">
        <f aca="false">B37*B38</f>
        <v>6.36636363636364</v>
      </c>
      <c r="C39" s="30" t="s">
        <v>190</v>
      </c>
      <c r="D39" s="30" t="s">
        <v>233</v>
      </c>
    </row>
    <row r="40" customFormat="false" ht="15" hidden="false" customHeight="true" outlineLevel="0" collapsed="false">
      <c r="A40" s="11" t="s">
        <v>237</v>
      </c>
      <c r="B40" s="29" t="n">
        <f aca="false">INPUT!$B$42</f>
        <v>0.3</v>
      </c>
      <c r="C40" s="29"/>
      <c r="D40" s="29" t="s">
        <v>238</v>
      </c>
    </row>
    <row r="41" customFormat="false" ht="15" hidden="false" customHeight="true" outlineLevel="0" collapsed="false">
      <c r="A41" s="11" t="s">
        <v>239</v>
      </c>
      <c r="B41" s="29" t="n">
        <f aca="false">INPUT!$B$43</f>
        <v>0.1</v>
      </c>
      <c r="C41" s="29"/>
      <c r="D41" s="29" t="s">
        <v>240</v>
      </c>
    </row>
    <row r="42" customFormat="false" ht="27.75" hidden="false" customHeight="true" outlineLevel="0" collapsed="false">
      <c r="A42" s="33" t="s">
        <v>241</v>
      </c>
      <c r="B42" s="33"/>
      <c r="C42" s="33"/>
      <c r="D42" s="33"/>
      <c r="E42" s="33"/>
      <c r="F42" s="33"/>
      <c r="G42" s="33"/>
      <c r="H42" s="33"/>
      <c r="I42" s="33"/>
      <c r="J42" s="33"/>
    </row>
    <row r="44" customFormat="false" ht="15" hidden="false" customHeight="true" outlineLevel="0" collapsed="false">
      <c r="A44" s="20" t="s">
        <v>242</v>
      </c>
      <c r="B44" s="21"/>
      <c r="C44" s="21"/>
      <c r="D44" s="21"/>
      <c r="E44" s="21"/>
      <c r="F44" s="21"/>
      <c r="G44" s="21"/>
      <c r="H44" s="21"/>
      <c r="I44" s="21"/>
      <c r="J44" s="21"/>
    </row>
    <row r="45" customFormat="false" ht="30" hidden="false" customHeight="true" outlineLevel="0" collapsed="false">
      <c r="A45" s="15" t="s">
        <v>243</v>
      </c>
      <c r="B45" s="25" t="s">
        <v>244</v>
      </c>
      <c r="C45" s="25" t="s">
        <v>245</v>
      </c>
      <c r="D45" s="25" t="s">
        <v>246</v>
      </c>
      <c r="E45" s="25" t="s">
        <v>247</v>
      </c>
      <c r="F45" s="25" t="s">
        <v>248</v>
      </c>
      <c r="G45" s="25" t="s">
        <v>249</v>
      </c>
      <c r="H45" s="25" t="s">
        <v>250</v>
      </c>
      <c r="I45" s="25" t="s">
        <v>251</v>
      </c>
      <c r="J45" s="25" t="s">
        <v>252</v>
      </c>
    </row>
    <row r="46" customFormat="false" ht="25.5" hidden="false" customHeight="true" outlineLevel="0" collapsed="false">
      <c r="A46" s="11" t="s">
        <v>148</v>
      </c>
      <c r="B46" s="34" t="n">
        <f aca="false">INPUT!$B$31</f>
        <v>5</v>
      </c>
      <c r="C46" s="34" t="n">
        <f aca="false">INPUT!$C$31</f>
        <v>10</v>
      </c>
      <c r="D46" s="34" t="n">
        <f aca="false">INPUT!$D$31</f>
        <v>22</v>
      </c>
      <c r="E46" s="34" t="n">
        <f aca="false">INPUT!$E$31</f>
        <v>32</v>
      </c>
      <c r="F46" s="34" t="n">
        <f aca="false">INPUT!$F$31</f>
        <v>40</v>
      </c>
      <c r="G46" s="34" t="n">
        <f aca="false">INPUT!$G$31</f>
        <v>48</v>
      </c>
      <c r="H46" s="34" t="n">
        <f aca="false">INPUT!$B$99</f>
        <v>50</v>
      </c>
      <c r="I46" s="34" t="n">
        <f aca="false">INPUT!$B$34</f>
        <v>24</v>
      </c>
      <c r="J46" s="40" t="s">
        <v>253</v>
      </c>
    </row>
    <row r="47" customFormat="false" ht="25.5" hidden="false" customHeight="true" outlineLevel="0" collapsed="false">
      <c r="A47" s="11" t="s">
        <v>149</v>
      </c>
      <c r="B47" s="34" t="n">
        <f aca="false">INPUT!$B$32</f>
        <v>0</v>
      </c>
      <c r="C47" s="34" t="n">
        <f aca="false">INPUT!$C$32</f>
        <v>15</v>
      </c>
      <c r="D47" s="34" t="n">
        <f aca="false">INPUT!$D$32</f>
        <v>40</v>
      </c>
      <c r="E47" s="34" t="n">
        <f aca="false">INPUT!$E$32</f>
        <v>75</v>
      </c>
      <c r="F47" s="34" t="n">
        <f aca="false">INPUT!$F$32</f>
        <v>110</v>
      </c>
      <c r="G47" s="34" t="n">
        <f aca="false">INPUT!$G$32</f>
        <v>150</v>
      </c>
      <c r="H47" s="34" t="n">
        <f aca="false">INPUT!$B$104</f>
        <v>5</v>
      </c>
      <c r="I47" s="34" t="n">
        <f aca="false">INPUT!$B$35</f>
        <v>9</v>
      </c>
      <c r="J47" s="40" t="s">
        <v>253</v>
      </c>
    </row>
    <row r="48" customFormat="false" ht="25.5" hidden="false" customHeight="true" outlineLevel="0" collapsed="false">
      <c r="A48" s="11" t="s">
        <v>150</v>
      </c>
      <c r="B48" s="34" t="n">
        <f aca="false">INPUT!$B$33</f>
        <v>15</v>
      </c>
      <c r="C48" s="34" t="n">
        <f aca="false">INPUT!$C$33</f>
        <v>40</v>
      </c>
      <c r="D48" s="34" t="n">
        <f aca="false">INPUT!$D$33</f>
        <v>90</v>
      </c>
      <c r="E48" s="34" t="n">
        <f aca="false">INPUT!$E$33</f>
        <v>150</v>
      </c>
      <c r="F48" s="34" t="n">
        <f aca="false">INPUT!$F$33</f>
        <v>210</v>
      </c>
      <c r="G48" s="34" t="n">
        <f aca="false">INPUT!$G$33</f>
        <v>270</v>
      </c>
      <c r="H48" s="34" t="n">
        <f aca="false">INPUT!$B$94</f>
        <v>8</v>
      </c>
      <c r="I48" s="41" t="s">
        <v>207</v>
      </c>
      <c r="J48" s="40" t="s">
        <v>254</v>
      </c>
    </row>
    <row r="49" customFormat="false" ht="27.75" hidden="false" customHeight="true" outlineLevel="0" collapsed="false">
      <c r="A49" s="33" t="s">
        <v>255</v>
      </c>
      <c r="B49" s="33"/>
      <c r="C49" s="33"/>
      <c r="D49" s="33"/>
      <c r="E49" s="33"/>
      <c r="F49" s="33"/>
      <c r="G49" s="33"/>
      <c r="H49" s="33"/>
      <c r="I49" s="33"/>
      <c r="J49" s="33"/>
    </row>
    <row r="51" customFormat="false" ht="15" hidden="false" customHeight="false" outlineLevel="0" collapsed="false">
      <c r="A51" s="42" t="s">
        <v>256</v>
      </c>
      <c r="B51" s="43"/>
      <c r="C51" s="43"/>
      <c r="D51" s="43"/>
      <c r="E51" s="43"/>
      <c r="F51" s="43"/>
      <c r="G51" s="43"/>
      <c r="H51" s="43"/>
      <c r="I51" s="43"/>
      <c r="J51" s="43"/>
    </row>
    <row r="52" customFormat="false" ht="78" hidden="false" customHeight="true" outlineLevel="0" collapsed="false">
      <c r="A52" s="33" t="s">
        <v>257</v>
      </c>
      <c r="B52" s="33"/>
      <c r="C52" s="33"/>
      <c r="D52" s="33"/>
      <c r="E52" s="33"/>
      <c r="F52" s="33"/>
      <c r="G52" s="33"/>
      <c r="H52" s="33"/>
      <c r="I52" s="33"/>
      <c r="J52" s="33"/>
    </row>
    <row r="53" customFormat="false" ht="30" hidden="false" customHeight="true" outlineLevel="0" collapsed="false">
      <c r="A53" s="44" t="s">
        <v>258</v>
      </c>
      <c r="B53" s="25" t="s">
        <v>5</v>
      </c>
      <c r="C53" s="25" t="s">
        <v>6</v>
      </c>
      <c r="D53" s="25" t="s">
        <v>7</v>
      </c>
      <c r="E53" s="25" t="s">
        <v>8</v>
      </c>
      <c r="F53" s="25" t="s">
        <v>9</v>
      </c>
    </row>
    <row r="54" customFormat="false" ht="15" hidden="false" customHeight="false" outlineLevel="0" collapsed="false">
      <c r="A54" s="17" t="s">
        <v>259</v>
      </c>
      <c r="B54" s="45" t="n">
        <f aca="false">MENGENGERÜST!B31</f>
        <v>13953.0993388617</v>
      </c>
      <c r="C54" s="45" t="n">
        <f aca="false">MENGENGERÜST!C31</f>
        <v>41298.0378217469</v>
      </c>
      <c r="D54" s="45" t="n">
        <f aca="false">MENGENGERÜST!D31</f>
        <v>85474.1528164816</v>
      </c>
      <c r="E54" s="45" t="n">
        <f aca="false">MENGENGERÜST!E31</f>
        <v>140347.903685229</v>
      </c>
      <c r="F54" s="45" t="n">
        <f aca="false">MENGENGERÜST!F31</f>
        <v>205627.923116393</v>
      </c>
    </row>
    <row r="55" customFormat="false" ht="15" hidden="false" customHeight="false" outlineLevel="0" collapsed="false">
      <c r="A55" s="17" t="s">
        <v>260</v>
      </c>
      <c r="B55" s="45" t="n">
        <f aca="false">MENGENGERÜST!B45</f>
        <v>11000</v>
      </c>
      <c r="C55" s="45" t="n">
        <f aca="false">MENGENGERÜST!C45</f>
        <v>27000</v>
      </c>
      <c r="D55" s="45" t="n">
        <f aca="false">MENGENGERÜST!D45</f>
        <v>53000</v>
      </c>
      <c r="E55" s="45" t="n">
        <f aca="false">MENGENGERÜST!E45</f>
        <v>81000</v>
      </c>
      <c r="F55" s="45" t="n">
        <f aca="false">MENGENGERÜST!F45</f>
        <v>80000</v>
      </c>
    </row>
    <row r="56" customFormat="false" ht="15" hidden="false" customHeight="false" outlineLevel="0" collapsed="false">
      <c r="A56" s="17" t="s">
        <v>261</v>
      </c>
      <c r="B56" s="46" t="n">
        <f aca="false">INPUT!$B$19</f>
        <v>40</v>
      </c>
      <c r="C56" s="46" t="n">
        <f aca="false">INPUT!$B$19</f>
        <v>40</v>
      </c>
      <c r="D56" s="46" t="n">
        <f aca="false">INPUT!$B$19</f>
        <v>40</v>
      </c>
      <c r="E56" s="46" t="n">
        <f aca="false">INPUT!$B$19</f>
        <v>40</v>
      </c>
      <c r="F56" s="46" t="n">
        <f aca="false">INPUT!$B$19</f>
        <v>40</v>
      </c>
    </row>
    <row r="57" customFormat="false" ht="15" hidden="false" customHeight="false" outlineLevel="0" collapsed="false">
      <c r="A57" s="47" t="s">
        <v>262</v>
      </c>
      <c r="B57" s="48" t="n">
        <v>25</v>
      </c>
      <c r="C57" s="48" t="n">
        <v>25</v>
      </c>
      <c r="D57" s="48" t="n">
        <v>25</v>
      </c>
      <c r="E57" s="48" t="n">
        <v>25</v>
      </c>
      <c r="F57" s="48" t="n">
        <v>25</v>
      </c>
    </row>
    <row r="58" customFormat="false" ht="15" hidden="false" customHeight="false" outlineLevel="0" collapsed="false">
      <c r="A58" s="47" t="s">
        <v>263</v>
      </c>
      <c r="B58" s="49" t="s">
        <v>264</v>
      </c>
      <c r="C58" s="49" t="s">
        <v>264</v>
      </c>
      <c r="D58" s="49" t="s">
        <v>264</v>
      </c>
      <c r="E58" s="49" t="s">
        <v>264</v>
      </c>
      <c r="F58" s="49" t="s">
        <v>264</v>
      </c>
    </row>
    <row r="59" customFormat="false" ht="30" hidden="false" customHeight="true" outlineLevel="0" collapsed="false">
      <c r="A59" s="33" t="s">
        <v>265</v>
      </c>
      <c r="B59" s="33"/>
      <c r="C59" s="33"/>
      <c r="D59" s="33"/>
      <c r="E59" s="33"/>
      <c r="F59" s="33"/>
      <c r="G59" s="33"/>
      <c r="H59" s="33"/>
      <c r="I59" s="33"/>
      <c r="J59" s="33"/>
    </row>
    <row r="61" customFormat="false" ht="30" hidden="false" customHeight="true" outlineLevel="0" collapsed="false">
      <c r="A61" s="44" t="s">
        <v>266</v>
      </c>
      <c r="B61" s="25" t="s">
        <v>5</v>
      </c>
      <c r="C61" s="25" t="s">
        <v>6</v>
      </c>
      <c r="D61" s="25" t="s">
        <v>7</v>
      </c>
      <c r="E61" s="25" t="s">
        <v>8</v>
      </c>
      <c r="F61" s="25" t="s">
        <v>9</v>
      </c>
      <c r="G61" s="25" t="s">
        <v>267</v>
      </c>
    </row>
    <row r="62" customFormat="false" ht="15" hidden="false" customHeight="false" outlineLevel="0" collapsed="false">
      <c r="A62" s="16" t="s">
        <v>268</v>
      </c>
      <c r="B62" s="50" t="n">
        <f aca="false">GuV!B20</f>
        <v>291794.564492599</v>
      </c>
      <c r="C62" s="50" t="n">
        <f aca="false">GuV!C20</f>
        <v>1232909.45819366</v>
      </c>
      <c r="D62" s="50" t="n">
        <f aca="false">GuV!D20</f>
        <v>2344075.99861269</v>
      </c>
      <c r="E62" s="50" t="n">
        <f aca="false">GuV!E20</f>
        <v>4127472.5200131</v>
      </c>
      <c r="F62" s="50" t="n">
        <f aca="false">GuV!F20</f>
        <v>6365853.89861058</v>
      </c>
      <c r="G62" s="50" t="n">
        <f aca="false">SUM(B62:F62)</f>
        <v>14362106.4399226</v>
      </c>
    </row>
    <row r="63" customFormat="false" ht="15" hidden="false" customHeight="false" outlineLevel="0" collapsed="false">
      <c r="A63" s="17" t="s">
        <v>269</v>
      </c>
      <c r="B63" s="45" t="n">
        <v>356560.06</v>
      </c>
      <c r="C63" s="45" t="n">
        <v>1439399.65</v>
      </c>
      <c r="D63" s="45" t="n">
        <v>2771446.76</v>
      </c>
      <c r="E63" s="45" t="n">
        <v>4829212.04</v>
      </c>
      <c r="F63" s="45" t="n">
        <v>7393993.51</v>
      </c>
      <c r="G63" s="45" t="n">
        <f aca="false">SUM(B63:F63)</f>
        <v>16790612.02</v>
      </c>
    </row>
    <row r="64" customFormat="false" ht="15" hidden="false" customHeight="false" outlineLevel="0" collapsed="false">
      <c r="A64" s="17" t="s">
        <v>270</v>
      </c>
      <c r="B64" s="45" t="n">
        <v>426325.56</v>
      </c>
      <c r="C64" s="45" t="n">
        <v>1645889.84</v>
      </c>
      <c r="D64" s="45" t="n">
        <v>3198817.53</v>
      </c>
      <c r="E64" s="45" t="n">
        <v>5530951.56</v>
      </c>
      <c r="F64" s="45" t="n">
        <v>8422133.13</v>
      </c>
      <c r="G64" s="45" t="n">
        <f aca="false">SUM(B64:F64)</f>
        <v>19224117.62</v>
      </c>
    </row>
    <row r="65" customFormat="false" ht="15" hidden="false" customHeight="false" outlineLevel="0" collapsed="false">
      <c r="A65" s="17" t="s">
        <v>271</v>
      </c>
      <c r="B65" s="45" t="n">
        <v>496091.05</v>
      </c>
      <c r="C65" s="45" t="n">
        <v>1852380.03</v>
      </c>
      <c r="D65" s="45" t="n">
        <v>3626188.29</v>
      </c>
      <c r="E65" s="45" t="n">
        <v>6232691.08</v>
      </c>
      <c r="F65" s="45" t="n">
        <v>9450272.75</v>
      </c>
      <c r="G65" s="45" t="n">
        <f aca="false">SUM(B65:F65)</f>
        <v>21657623.2</v>
      </c>
    </row>
    <row r="66" customFormat="false" ht="15" hidden="false" customHeight="false" outlineLevel="0" collapsed="false">
      <c r="A66" s="17" t="s">
        <v>272</v>
      </c>
      <c r="B66" s="45" t="n">
        <v>565856.55</v>
      </c>
      <c r="C66" s="45" t="n">
        <v>2058870.21</v>
      </c>
      <c r="D66" s="45" t="n">
        <v>4053559.05</v>
      </c>
      <c r="E66" s="45" t="n">
        <v>6934430.59</v>
      </c>
      <c r="F66" s="45" t="n">
        <v>10478412.36</v>
      </c>
      <c r="G66" s="45" t="n">
        <f aca="false">SUM(B66:F66)</f>
        <v>24091128.76</v>
      </c>
    </row>
    <row r="67" customFormat="false" ht="15" hidden="false" customHeight="false" outlineLevel="0" collapsed="false">
      <c r="A67" s="51" t="s">
        <v>273</v>
      </c>
      <c r="B67" s="52" t="n">
        <f aca="false">B65-B62</f>
        <v>204296.485507401</v>
      </c>
      <c r="C67" s="52" t="n">
        <f aca="false">C65-C62</f>
        <v>619470.571806337</v>
      </c>
      <c r="D67" s="52" t="n">
        <f aca="false">D65-D62</f>
        <v>1282112.29138731</v>
      </c>
      <c r="E67" s="52" t="n">
        <f aca="false">E65-E62</f>
        <v>2105218.5599869</v>
      </c>
      <c r="F67" s="52" t="n">
        <f aca="false">F65-F62</f>
        <v>3084418.85138942</v>
      </c>
      <c r="G67" s="52" t="n">
        <f aca="false">G65-G62</f>
        <v>7295516.76007737</v>
      </c>
    </row>
    <row r="68" customFormat="false" ht="15" hidden="false" customHeight="false" outlineLevel="0" collapsed="false">
      <c r="A68" s="17" t="s">
        <v>274</v>
      </c>
      <c r="B68" s="45" t="n">
        <f aca="false">B66-B62</f>
        <v>274061.985507401</v>
      </c>
      <c r="C68" s="45" t="n">
        <f aca="false">C66-C62</f>
        <v>825960.751806337</v>
      </c>
      <c r="D68" s="45" t="n">
        <f aca="false">D66-D62</f>
        <v>1709483.05138731</v>
      </c>
      <c r="E68" s="45" t="n">
        <f aca="false">E66-E62</f>
        <v>2806958.0699869</v>
      </c>
      <c r="F68" s="45" t="n">
        <f aca="false">F66-F62</f>
        <v>4112558.46138942</v>
      </c>
      <c r="G68" s="45" t="n">
        <f aca="false">G66-G62</f>
        <v>9729022.32007737</v>
      </c>
    </row>
    <row r="70" customFormat="false" ht="30" hidden="false" customHeight="true" outlineLevel="0" collapsed="false">
      <c r="A70" s="44" t="s">
        <v>275</v>
      </c>
      <c r="B70" s="25" t="s">
        <v>5</v>
      </c>
      <c r="C70" s="25" t="s">
        <v>6</v>
      </c>
      <c r="D70" s="25" t="s">
        <v>7</v>
      </c>
      <c r="E70" s="25" t="s">
        <v>8</v>
      </c>
      <c r="F70" s="25" t="s">
        <v>9</v>
      </c>
    </row>
    <row r="71" customFormat="false" ht="15" hidden="false" customHeight="false" outlineLevel="0" collapsed="false">
      <c r="A71" s="16" t="s">
        <v>268</v>
      </c>
      <c r="B71" s="53" t="n">
        <f aca="false">GuV!B21</f>
        <v>0.192331441765492</v>
      </c>
      <c r="C71" s="53" t="n">
        <f aca="false">GuV!C21</f>
        <v>0.287160311709144</v>
      </c>
      <c r="D71" s="53" t="n">
        <f aca="false">GuV!D21</f>
        <v>0.290027595686488</v>
      </c>
      <c r="E71" s="53" t="n">
        <f aca="false">GuV!E21</f>
        <v>0.312074497417207</v>
      </c>
      <c r="F71" s="53" t="n">
        <f aca="false">GuV!F21</f>
        <v>0.329722756688344</v>
      </c>
    </row>
    <row r="72" customFormat="false" ht="15" hidden="false" customHeight="false" outlineLevel="0" collapsed="false">
      <c r="A72" s="17" t="s">
        <v>269</v>
      </c>
      <c r="B72" s="54" t="n">
        <v>0.235021</v>
      </c>
      <c r="C72" s="54" t="n">
        <v>0.335255</v>
      </c>
      <c r="D72" s="54" t="n">
        <v>0.342905</v>
      </c>
      <c r="E72" s="54" t="n">
        <v>0.365132</v>
      </c>
      <c r="F72" s="54" t="n">
        <v>0.382976</v>
      </c>
    </row>
    <row r="73" customFormat="false" ht="15" hidden="false" customHeight="false" outlineLevel="0" collapsed="false">
      <c r="A73" s="17" t="s">
        <v>270</v>
      </c>
      <c r="B73" s="54" t="n">
        <v>0.281005</v>
      </c>
      <c r="C73" s="54" t="n">
        <v>0.383349</v>
      </c>
      <c r="D73" s="54" t="n">
        <v>0.395783</v>
      </c>
      <c r="E73" s="54" t="n">
        <v>0.41819</v>
      </c>
      <c r="F73" s="54" t="n">
        <v>0.436229</v>
      </c>
    </row>
    <row r="74" customFormat="false" ht="15" hidden="false" customHeight="false" outlineLevel="0" collapsed="false">
      <c r="A74" s="17" t="s">
        <v>271</v>
      </c>
      <c r="B74" s="54" t="n">
        <v>0.32699</v>
      </c>
      <c r="C74" s="54" t="n">
        <v>0.431443</v>
      </c>
      <c r="D74" s="54" t="n">
        <v>0.448661</v>
      </c>
      <c r="E74" s="54" t="n">
        <v>0.471248</v>
      </c>
      <c r="F74" s="54" t="n">
        <v>0.489482</v>
      </c>
    </row>
    <row r="75" customFormat="false" ht="15" hidden="false" customHeight="false" outlineLevel="0" collapsed="false">
      <c r="A75" s="17" t="s">
        <v>272</v>
      </c>
      <c r="B75" s="54" t="n">
        <v>0.372975</v>
      </c>
      <c r="C75" s="54" t="n">
        <v>0.479537</v>
      </c>
      <c r="D75" s="54" t="n">
        <v>0.501538</v>
      </c>
      <c r="E75" s="54" t="n">
        <v>0.524306</v>
      </c>
      <c r="F75" s="54" t="n">
        <v>0.542735</v>
      </c>
    </row>
    <row r="76" customFormat="false" ht="43.5" hidden="false" customHeight="true" outlineLevel="0" collapsed="false">
      <c r="A76" s="33" t="s">
        <v>276</v>
      </c>
      <c r="B76" s="33"/>
      <c r="C76" s="33"/>
      <c r="D76" s="33"/>
      <c r="E76" s="33"/>
      <c r="F76" s="33"/>
      <c r="G76" s="33"/>
      <c r="H76" s="33"/>
      <c r="I76" s="33"/>
      <c r="J76" s="33"/>
    </row>
  </sheetData>
  <mergeCells count="8">
    <mergeCell ref="A2:J2"/>
    <mergeCell ref="A19:J19"/>
    <mergeCell ref="A27:J27"/>
    <mergeCell ref="A42:J42"/>
    <mergeCell ref="A49:J49"/>
    <mergeCell ref="A52:J52"/>
    <mergeCell ref="A59:J59"/>
    <mergeCell ref="A76:J7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3434"/>
    <pageSetUpPr fitToPage="false"/>
  </sheetPr>
  <dimension ref="A1:BI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9"/>
  </cols>
  <sheetData>
    <row r="1" customFormat="false" ht="15.75" hidden="false" customHeight="true" outlineLevel="0" collapsed="false">
      <c r="A1" s="14" t="s">
        <v>277</v>
      </c>
    </row>
    <row r="2" customFormat="false" ht="15" hidden="false" customHeight="true" outlineLevel="0" collapsed="false">
      <c r="A2" s="6" t="s">
        <v>278</v>
      </c>
    </row>
    <row r="3" customFormat="false" ht="15" hidden="false" customHeight="true" outlineLevel="0" collapsed="false">
      <c r="B3" s="9" t="s">
        <v>5</v>
      </c>
      <c r="C3" s="9" t="s">
        <v>6</v>
      </c>
      <c r="D3" s="9" t="s">
        <v>7</v>
      </c>
      <c r="E3" s="9" t="s">
        <v>8</v>
      </c>
      <c r="F3" s="9" t="s">
        <v>9</v>
      </c>
    </row>
    <row r="4" customFormat="false" ht="15" hidden="false" customHeight="true" outlineLevel="0" collapsed="false">
      <c r="A4" s="4" t="s">
        <v>279</v>
      </c>
      <c r="B4" s="10" t="n">
        <f aca="false">SUM(MODELL!B82:M82)</f>
        <v>1422901.24896026</v>
      </c>
      <c r="C4" s="10" t="n">
        <f aca="false">SUM(MODELL!N82:Y82)</f>
        <v>4021328.38278389</v>
      </c>
      <c r="D4" s="10" t="n">
        <f aca="false">SUM(MODELL!Z82:AK82)</f>
        <v>7594343.67909893</v>
      </c>
      <c r="E4" s="10" t="n">
        <f aca="false">SUM(MODELL!AL82:AW82)</f>
        <v>12440429.7189115</v>
      </c>
      <c r="F4" s="10" t="n">
        <f aca="false">SUM(MODELL!AX82:BI82)</f>
        <v>18180076.9063342</v>
      </c>
    </row>
    <row r="5" customFormat="false" ht="15" hidden="false" customHeight="true" outlineLevel="0" collapsed="false">
      <c r="A5" s="11" t="s">
        <v>280</v>
      </c>
      <c r="B5" s="12" t="n">
        <f aca="false">-SUM(MODELL!B83:M83)</f>
        <v>-1056384.58426197</v>
      </c>
      <c r="C5" s="12" t="n">
        <f aca="false">-SUM(MODELL!N83:Y83)</f>
        <v>-2291201.82359775</v>
      </c>
      <c r="D5" s="12" t="n">
        <f aca="false">-SUM(MODELL!Z83:AK83)</f>
        <v>-4139287.23642283</v>
      </c>
      <c r="E5" s="12" t="n">
        <f aca="false">-SUM(MODELL!AL83:AW83)</f>
        <v>-6372391.66940207</v>
      </c>
      <c r="F5" s="12" t="n">
        <f aca="false">-SUM(MODELL!AX83:BI83)</f>
        <v>-8481257.68678136</v>
      </c>
    </row>
    <row r="6" customFormat="false" ht="15" hidden="false" customHeight="true" outlineLevel="0" collapsed="false">
      <c r="A6" s="11" t="s">
        <v>281</v>
      </c>
      <c r="B6" s="12" t="n">
        <f aca="false">-SUM(MODELL!B86:M86)</f>
        <v>-700000</v>
      </c>
      <c r="C6" s="12" t="n">
        <f aca="false">-SUM(MODELL!N86:Y86)</f>
        <v>-0</v>
      </c>
      <c r="D6" s="12" t="n">
        <f aca="false">-SUM(MODELL!Z86:AK86)</f>
        <v>-0</v>
      </c>
      <c r="E6" s="12" t="n">
        <f aca="false">-SUM(MODELL!AL86:AW86)</f>
        <v>-0</v>
      </c>
      <c r="F6" s="12" t="n">
        <f aca="false">-SUM(MODELL!AX86:BI86)</f>
        <v>-0</v>
      </c>
    </row>
    <row r="7" customFormat="false" ht="15" hidden="false" customHeight="true" outlineLevel="0" collapsed="false">
      <c r="A7" s="11" t="s">
        <v>282</v>
      </c>
      <c r="B7" s="12" t="n">
        <f aca="false">-SUM(MODELL!B89:M89)</f>
        <v>-218845.923369449</v>
      </c>
      <c r="C7" s="12" t="n">
        <f aca="false">-SUM(MODELL!N89:Y89)</f>
        <v>-924682.093645247</v>
      </c>
      <c r="D7" s="12" t="n">
        <f aca="false">-SUM(MODELL!Z89:AK89)</f>
        <v>-1758056.99895952</v>
      </c>
      <c r="E7" s="12" t="n">
        <f aca="false">-SUM(MODELL!AL89:AW89)</f>
        <v>-3095604.39000982</v>
      </c>
      <c r="F7" s="12" t="n">
        <f aca="false">-SUM(MODELL!AX89:BI89)</f>
        <v>-4774390.42395794</v>
      </c>
    </row>
    <row r="8" customFormat="false" ht="15" hidden="false" customHeight="true" outlineLevel="0" collapsed="false">
      <c r="A8" s="4" t="s">
        <v>15</v>
      </c>
      <c r="B8" s="10" t="n">
        <f aca="false">MODELL!M90</f>
        <v>447670.741328841</v>
      </c>
      <c r="C8" s="10" t="n">
        <f aca="false">MODELL!Y90</f>
        <v>1253115.20686973</v>
      </c>
      <c r="D8" s="10" t="n">
        <f aca="false">MODELL!AK90</f>
        <v>2950114.6505863</v>
      </c>
      <c r="E8" s="10" t="n">
        <f aca="false">MODELL!AW90</f>
        <v>5922548.31008589</v>
      </c>
      <c r="F8" s="10" t="n">
        <f aca="false">MODELL!BI90</f>
        <v>10846977.1056807</v>
      </c>
    </row>
    <row r="9" customFormat="false" ht="15" hidden="false" customHeight="true" outlineLevel="0" collapsed="false">
      <c r="A9" s="11" t="s">
        <v>16</v>
      </c>
      <c r="B9" s="12" t="n">
        <f aca="false">MIN(MODELL!B90:M90)</f>
        <v>447670.741328841</v>
      </c>
      <c r="C9" s="12" t="n">
        <f aca="false">MIN(MODELL!N90:Y90)</f>
        <v>594443.394695823</v>
      </c>
      <c r="D9" s="12" t="n">
        <f aca="false">MIN(MODELL!Z90:AK90)</f>
        <v>1617939.43577612</v>
      </c>
      <c r="E9" s="12" t="n">
        <f aca="false">MIN(MODELL!AL90:AW90)</f>
        <v>3699460.77900396</v>
      </c>
      <c r="F9" s="12" t="n">
        <f aca="false">MIN(MODELL!AX90:BI90)</f>
        <v>7132545.45800799</v>
      </c>
    </row>
    <row r="10" customFormat="false" ht="15" hidden="false" customHeight="true" outlineLevel="0" collapsed="false">
      <c r="A10" s="11" t="s">
        <v>63</v>
      </c>
      <c r="B10" s="12" t="n">
        <f aca="false">MIN(MODELL!B84:M84)</f>
        <v>138520.548200871</v>
      </c>
      <c r="C10" s="12" t="n">
        <f aca="false">MIN(MODELL!N84:Y84)</f>
        <v>329425.995934775</v>
      </c>
      <c r="D10" s="12" t="n">
        <f aca="false">MIN(MODELL!Z84:AK84)</f>
        <v>731758.727468904</v>
      </c>
      <c r="E10" s="12" t="n">
        <f aca="false">MIN(MODELL!AL84:AW84)</f>
        <v>1087210.97977702</v>
      </c>
      <c r="F10" s="12" t="n">
        <f aca="false">MIN(MODELL!AX84:BI84)</f>
        <v>1561525.01258239</v>
      </c>
    </row>
    <row r="12" customFormat="false" ht="15" hidden="false" customHeight="true" outlineLevel="0" collapsed="false">
      <c r="A12" s="7" t="s">
        <v>283</v>
      </c>
      <c r="B12" s="8"/>
    </row>
    <row r="13" customFormat="false" ht="15" hidden="false" customHeight="true" outlineLevel="0" collapsed="false">
      <c r="A13" s="6" t="s">
        <v>284</v>
      </c>
      <c r="B13" s="6" t="s">
        <v>285</v>
      </c>
      <c r="C13" s="6" t="s">
        <v>286</v>
      </c>
      <c r="D13" s="6" t="s">
        <v>287</v>
      </c>
      <c r="E13" s="6" t="s">
        <v>288</v>
      </c>
      <c r="F13" s="6" t="s">
        <v>289</v>
      </c>
      <c r="G13" s="6" t="s">
        <v>290</v>
      </c>
      <c r="H13" s="6" t="s">
        <v>291</v>
      </c>
      <c r="I13" s="6" t="s">
        <v>292</v>
      </c>
      <c r="J13" s="6" t="s">
        <v>293</v>
      </c>
      <c r="K13" s="6" t="s">
        <v>294</v>
      </c>
      <c r="L13" s="6" t="s">
        <v>295</v>
      </c>
      <c r="M13" s="6" t="s">
        <v>296</v>
      </c>
      <c r="N13" s="6" t="s">
        <v>297</v>
      </c>
      <c r="O13" s="6" t="s">
        <v>298</v>
      </c>
      <c r="P13" s="6" t="s">
        <v>299</v>
      </c>
      <c r="Q13" s="6" t="s">
        <v>300</v>
      </c>
      <c r="R13" s="6" t="s">
        <v>301</v>
      </c>
      <c r="S13" s="6" t="s">
        <v>302</v>
      </c>
      <c r="T13" s="6" t="s">
        <v>303</v>
      </c>
      <c r="U13" s="6" t="s">
        <v>304</v>
      </c>
      <c r="V13" s="6" t="s">
        <v>305</v>
      </c>
      <c r="W13" s="6" t="s">
        <v>306</v>
      </c>
      <c r="X13" s="6" t="s">
        <v>307</v>
      </c>
      <c r="Y13" s="6" t="s">
        <v>308</v>
      </c>
      <c r="Z13" s="6" t="s">
        <v>309</v>
      </c>
      <c r="AA13" s="6" t="s">
        <v>310</v>
      </c>
      <c r="AB13" s="6" t="s">
        <v>311</v>
      </c>
      <c r="AC13" s="6" t="s">
        <v>312</v>
      </c>
      <c r="AD13" s="6" t="s">
        <v>313</v>
      </c>
      <c r="AE13" s="6" t="s">
        <v>314</v>
      </c>
      <c r="AF13" s="6" t="s">
        <v>315</v>
      </c>
      <c r="AG13" s="6" t="s">
        <v>316</v>
      </c>
      <c r="AH13" s="6" t="s">
        <v>317</v>
      </c>
      <c r="AI13" s="6" t="s">
        <v>318</v>
      </c>
      <c r="AJ13" s="6" t="s">
        <v>319</v>
      </c>
      <c r="AK13" s="6" t="s">
        <v>320</v>
      </c>
      <c r="AL13" s="6" t="s">
        <v>321</v>
      </c>
      <c r="AM13" s="6" t="s">
        <v>322</v>
      </c>
      <c r="AN13" s="6" t="s">
        <v>323</v>
      </c>
      <c r="AO13" s="6" t="s">
        <v>324</v>
      </c>
      <c r="AP13" s="6" t="s">
        <v>325</v>
      </c>
      <c r="AQ13" s="6" t="s">
        <v>326</v>
      </c>
      <c r="AR13" s="6" t="s">
        <v>327</v>
      </c>
      <c r="AS13" s="6" t="s">
        <v>328</v>
      </c>
      <c r="AT13" s="6" t="s">
        <v>329</v>
      </c>
      <c r="AU13" s="6" t="s">
        <v>330</v>
      </c>
      <c r="AV13" s="6" t="s">
        <v>331</v>
      </c>
      <c r="AW13" s="6" t="s">
        <v>332</v>
      </c>
      <c r="AX13" s="6" t="s">
        <v>333</v>
      </c>
      <c r="AY13" s="6" t="s">
        <v>334</v>
      </c>
      <c r="AZ13" s="6" t="s">
        <v>335</v>
      </c>
      <c r="BA13" s="6" t="s">
        <v>336</v>
      </c>
      <c r="BB13" s="6" t="s">
        <v>337</v>
      </c>
      <c r="BC13" s="6" t="s">
        <v>338</v>
      </c>
      <c r="BD13" s="6" t="s">
        <v>339</v>
      </c>
      <c r="BE13" s="6" t="s">
        <v>340</v>
      </c>
      <c r="BF13" s="6" t="s">
        <v>341</v>
      </c>
      <c r="BG13" s="6" t="s">
        <v>342</v>
      </c>
      <c r="BH13" s="6" t="s">
        <v>343</v>
      </c>
      <c r="BI13" s="6" t="s">
        <v>344</v>
      </c>
    </row>
    <row r="14" customFormat="false" ht="15" hidden="false" customHeight="true" outlineLevel="0" collapsed="false">
      <c r="A14" s="4" t="s">
        <v>345</v>
      </c>
      <c r="B14" s="22" t="n">
        <f aca="false">MODELL!B90</f>
        <v>875257.546747341</v>
      </c>
      <c r="C14" s="22" t="n">
        <f aca="false">MODELL!C90</f>
        <v>823915.726546205</v>
      </c>
      <c r="D14" s="22" t="n">
        <f aca="false">MODELL!D90</f>
        <v>787511.290122242</v>
      </c>
      <c r="E14" s="22" t="n">
        <f aca="false">MODELL!E90</f>
        <v>745836.824497477</v>
      </c>
      <c r="F14" s="22" t="n">
        <f aca="false">MODELL!F90</f>
        <v>708708.421475153</v>
      </c>
      <c r="G14" s="22" t="n">
        <f aca="false">MODELL!G90</f>
        <v>633567.058352059</v>
      </c>
      <c r="H14" s="22" t="n">
        <f aca="false">MODELL!H90</f>
        <v>612663.64541322</v>
      </c>
      <c r="I14" s="22" t="n">
        <f aca="false">MODELL!I90</f>
        <v>585869.366883382</v>
      </c>
      <c r="J14" s="22" t="n">
        <f aca="false">MODELL!J90</f>
        <v>573069.613474895</v>
      </c>
      <c r="K14" s="22" t="n">
        <f aca="false">MODELL!K90</f>
        <v>504162.308894337</v>
      </c>
      <c r="L14" s="22" t="n">
        <f aca="false">MODELL!L90</f>
        <v>469056.436386214</v>
      </c>
      <c r="M14" s="22" t="n">
        <f aca="false">MODELL!M90</f>
        <v>447670.741328841</v>
      </c>
      <c r="N14" s="22" t="n">
        <f aca="false">MODELL!N90</f>
        <v>594443.394695823</v>
      </c>
      <c r="O14" s="22" t="n">
        <f aca="false">MODELL!O90</f>
        <v>598586.818248033</v>
      </c>
      <c r="P14" s="22" t="n">
        <f aca="false">MODELL!P90</f>
        <v>632602.91853636</v>
      </c>
      <c r="Q14" s="22" t="n">
        <f aca="false">MODELL!Q90</f>
        <v>706193.700237203</v>
      </c>
      <c r="R14" s="22" t="n">
        <f aca="false">MODELL!R90</f>
        <v>769094.08022266</v>
      </c>
      <c r="S14" s="22" t="n">
        <f aca="false">MODELL!S90</f>
        <v>801068.009278123</v>
      </c>
      <c r="T14" s="22" t="n">
        <f aca="false">MODELL!T90</f>
        <v>861905.057434235</v>
      </c>
      <c r="U14" s="22" t="n">
        <f aca="false">MODELL!U90</f>
        <v>951417.407323969</v>
      </c>
      <c r="V14" s="22" t="n">
        <f aca="false">MODELL!V90</f>
        <v>1019437.2066452</v>
      </c>
      <c r="W14" s="22" t="n">
        <f aca="false">MODELL!W90</f>
        <v>1075814.23667841</v>
      </c>
      <c r="X14" s="22" t="n">
        <f aca="false">MODELL!X90</f>
        <v>1150413.85897408</v>
      </c>
      <c r="Y14" s="22" t="n">
        <f aca="false">MODELL!Y90</f>
        <v>1253115.20686973</v>
      </c>
      <c r="Z14" s="22" t="n">
        <f aca="false">MODELL!Z90</f>
        <v>1617939.43577612</v>
      </c>
      <c r="AA14" s="22" t="n">
        <f aca="false">MODELL!AA90</f>
        <v>1701202.55905611</v>
      </c>
      <c r="AB14" s="22" t="n">
        <f aca="false">MODELL!AB90</f>
        <v>1796535.50890147</v>
      </c>
      <c r="AC14" s="22" t="n">
        <f aca="false">MODELL!AC90</f>
        <v>1933584.2257271</v>
      </c>
      <c r="AD14" s="22" t="n">
        <f aca="false">MODELL!AD90</f>
        <v>2042033.20275291</v>
      </c>
      <c r="AE14" s="22" t="n">
        <f aca="false">MODELL!AE90</f>
        <v>2151600.95802587</v>
      </c>
      <c r="AF14" s="22" t="n">
        <f aca="false">MODELL!AF90</f>
        <v>2272036.0473404</v>
      </c>
      <c r="AG14" s="22" t="n">
        <f aca="false">MODELL!AG90</f>
        <v>2413113.55321089</v>
      </c>
      <c r="AH14" s="22" t="n">
        <f aca="false">MODELL!AH90</f>
        <v>2574631.99282988</v>
      </c>
      <c r="AI14" s="22" t="n">
        <f aca="false">MODELL!AI90</f>
        <v>2686410.59479222</v>
      </c>
      <c r="AJ14" s="22" t="n">
        <f aca="false">MODELL!AJ90</f>
        <v>2808286.90039013</v>
      </c>
      <c r="AK14" s="22" t="n">
        <f aca="false">MODELL!AK90</f>
        <v>2950114.6505863</v>
      </c>
      <c r="AL14" s="22" t="n">
        <f aca="false">MODELL!AL90</f>
        <v>3699460.77900396</v>
      </c>
      <c r="AM14" s="22" t="n">
        <f aca="false">MODELL!AM90</f>
        <v>3859056.28999361</v>
      </c>
      <c r="AN14" s="22" t="n">
        <f aca="false">MODELL!AN90</f>
        <v>4013166.64576061</v>
      </c>
      <c r="AO14" s="22" t="n">
        <f aca="false">MODELL!AO90</f>
        <v>4211264.45328129</v>
      </c>
      <c r="AP14" s="22" t="n">
        <f aca="false">MODELL!AP90</f>
        <v>4442879.98024404</v>
      </c>
      <c r="AQ14" s="22" t="n">
        <f aca="false">MODELL!AQ90</f>
        <v>4637594.3764252</v>
      </c>
      <c r="AR14" s="22" t="n">
        <f aca="false">MODELL!AR90</f>
        <v>4825033.70498316</v>
      </c>
      <c r="AS14" s="22" t="n">
        <f aca="false">MODELL!AS90</f>
        <v>5044863.6865687</v>
      </c>
      <c r="AT14" s="22" t="n">
        <f aca="false">MODELL!AT90</f>
        <v>5286785.07079909</v>
      </c>
      <c r="AU14" s="22" t="n">
        <f aca="false">MODELL!AU90</f>
        <v>5500529.559896</v>
      </c>
      <c r="AV14" s="22" t="n">
        <f aca="false">MODELL!AV90</f>
        <v>5685856.21830901</v>
      </c>
      <c r="AW14" s="22" t="n">
        <f aca="false">MODELL!AW90</f>
        <v>5922548.31008589</v>
      </c>
      <c r="AX14" s="22" t="n">
        <f aca="false">MODELL!AX90</f>
        <v>7132545.45800799</v>
      </c>
      <c r="AY14" s="22" t="n">
        <f aca="false">MODELL!AY90</f>
        <v>7401474.6373805</v>
      </c>
      <c r="AZ14" s="22" t="n">
        <f aca="false">MODELL!AZ90</f>
        <v>7636587.21351522</v>
      </c>
      <c r="BA14" s="22" t="n">
        <f aca="false">MODELL!BA90</f>
        <v>7917334.63617595</v>
      </c>
      <c r="BB14" s="22" t="n">
        <f aca="false">MODELL!BB90</f>
        <v>8253227.37886811</v>
      </c>
      <c r="BC14" s="22" t="n">
        <f aca="false">MODELL!BC90</f>
        <v>8563828.02604684</v>
      </c>
      <c r="BD14" s="22" t="n">
        <f aca="false">MODELL!BD90</f>
        <v>8828745.18560884</v>
      </c>
      <c r="BE14" s="22" t="n">
        <f aca="false">MODELL!BE90</f>
        <v>9117628.12773994</v>
      </c>
      <c r="BF14" s="22" t="n">
        <f aca="false">MODELL!BF90</f>
        <v>9480162.06305951</v>
      </c>
      <c r="BG14" s="22" t="n">
        <f aca="false">MODELL!BG90</f>
        <v>9916063.98344704</v>
      </c>
      <c r="BH14" s="22" t="n">
        <f aca="false">MODELL!BH90</f>
        <v>10335078.9981275</v>
      </c>
      <c r="BI14" s="22" t="n">
        <f aca="false">MODELL!BI90</f>
        <v>10846977.1056807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A6A"/>
    <pageSetUpPr fitToPage="fals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15"/>
  </cols>
  <sheetData>
    <row r="1" customFormat="false" ht="15.75" hidden="false" customHeight="true" outlineLevel="0" collapsed="false">
      <c r="A1" s="14" t="s">
        <v>346</v>
      </c>
    </row>
    <row r="3" customFormat="false" ht="15" hidden="false" customHeight="true" outlineLevel="0" collapsed="false">
      <c r="B3" s="9" t="s">
        <v>5</v>
      </c>
      <c r="C3" s="9" t="s">
        <v>6</v>
      </c>
      <c r="D3" s="9" t="s">
        <v>7</v>
      </c>
      <c r="E3" s="9" t="s">
        <v>8</v>
      </c>
      <c r="F3" s="9" t="s">
        <v>9</v>
      </c>
    </row>
    <row r="4" customFormat="false" ht="15" hidden="false" customHeight="true" outlineLevel="0" collapsed="false">
      <c r="A4" s="11" t="s">
        <v>347</v>
      </c>
      <c r="B4" s="12" t="n">
        <f aca="false">SUM(MODELL!B22:M22)</f>
        <v>1846.15384615385</v>
      </c>
      <c r="C4" s="12" t="n">
        <f aca="false">SUM(MODELL!N22:Y22)</f>
        <v>4285.71428571429</v>
      </c>
      <c r="D4" s="12" t="n">
        <f aca="false">SUM(MODELL!Z22:AK22)</f>
        <v>6666.66666666667</v>
      </c>
      <c r="E4" s="12" t="n">
        <f aca="false">SUM(MODELL!AL22:AW22)</f>
        <v>10256.4102564103</v>
      </c>
      <c r="F4" s="12" t="n">
        <f aca="false">SUM(MODELL!AX22:BI22)</f>
        <v>13750</v>
      </c>
    </row>
    <row r="5" customFormat="false" ht="15" hidden="false" customHeight="true" outlineLevel="0" collapsed="false">
      <c r="A5" s="11" t="s">
        <v>348</v>
      </c>
      <c r="B5" s="12" t="n">
        <f aca="false">MODELL!M23+MODELL!M24</f>
        <v>604.01751843121</v>
      </c>
      <c r="C5" s="12" t="n">
        <f aca="false">MODELL!Y23+MODELL!Y24</f>
        <v>1700.88417394438</v>
      </c>
      <c r="D5" s="12" t="n">
        <f aca="false">MODELL!AK23+MODELL!AK24</f>
        <v>3063.30987023919</v>
      </c>
      <c r="E5" s="12" t="n">
        <f aca="false">MODELL!AW23+MODELL!AW24</f>
        <v>5004.83867849802</v>
      </c>
      <c r="F5" s="12" t="n">
        <f aca="false">MODELL!BI23+MODELL!BI24</f>
        <v>7243.32680953544</v>
      </c>
    </row>
    <row r="6" customFormat="false" ht="15" hidden="false" customHeight="true" outlineLevel="0" collapsed="false">
      <c r="A6" s="11" t="s">
        <v>349</v>
      </c>
      <c r="B6" s="55" t="n">
        <f aca="false">INPUT!$B$10</f>
        <v>135.454545454545</v>
      </c>
      <c r="C6" s="55" t="n">
        <f aca="false">INPUT!$B$10</f>
        <v>135.454545454545</v>
      </c>
      <c r="D6" s="55" t="n">
        <f aca="false">INPUT!$B$10</f>
        <v>135.454545454545</v>
      </c>
      <c r="E6" s="55" t="n">
        <f aca="false">INPUT!$B$10</f>
        <v>135.454545454545</v>
      </c>
      <c r="F6" s="55" t="n">
        <f aca="false">INPUT!$B$10</f>
        <v>135.454545454545</v>
      </c>
    </row>
    <row r="7" customFormat="false" ht="15" hidden="false" customHeight="true" outlineLevel="0" collapsed="false">
      <c r="A7" s="11" t="s">
        <v>350</v>
      </c>
      <c r="B7" s="55" t="n">
        <f aca="false">INPUT!$B$10-INPUT!$B$19-INPUT!B$21</f>
        <v>82.4545454545454</v>
      </c>
      <c r="C7" s="55" t="n">
        <f aca="false">INPUT!$B$10-INPUT!$B$19-INPUT!C$21</f>
        <v>83.9545454545454</v>
      </c>
      <c r="D7" s="55" t="n">
        <f aca="false">INPUT!$B$10-INPUT!$B$19-INPUT!D$21</f>
        <v>84.9545454545454</v>
      </c>
      <c r="E7" s="55" t="n">
        <f aca="false">INPUT!$B$10-INPUT!$B$19-INPUT!E$21</f>
        <v>84.9545454545454</v>
      </c>
      <c r="F7" s="55" t="n">
        <f aca="false">INPUT!$B$10-INPUT!$B$19-INPUT!F$21</f>
        <v>84.9545454545454</v>
      </c>
    </row>
    <row r="8" customFormat="false" ht="15" hidden="false" customHeight="true" outlineLevel="0" collapsed="false">
      <c r="A8" s="11" t="s">
        <v>351</v>
      </c>
      <c r="B8" s="55" t="n">
        <f aca="false">1+INPUT!B$82/INPUT!B$87</f>
        <v>3.91666666666667</v>
      </c>
      <c r="C8" s="55" t="n">
        <f aca="false">1+INPUT!C$82/INPUT!C$87</f>
        <v>3.91666666666667</v>
      </c>
      <c r="D8" s="55" t="n">
        <f aca="false">1+INPUT!D$82/INPUT!D$87</f>
        <v>3.91666666666667</v>
      </c>
      <c r="E8" s="55" t="n">
        <f aca="false">1+INPUT!E$82/INPUT!E$87</f>
        <v>3.91666666666667</v>
      </c>
      <c r="F8" s="55" t="n">
        <f aca="false">1+INPUT!F$82/INPUT!F$87</f>
        <v>3.91666666666667</v>
      </c>
    </row>
    <row r="9" customFormat="false" ht="15" hidden="false" customHeight="true" outlineLevel="0" collapsed="false">
      <c r="A9" s="11" t="s">
        <v>352</v>
      </c>
      <c r="B9" s="12" t="n">
        <f aca="false">(1+INPUT!B$82/INPUT!B$87)*(INPUT!$B$10-INPUT!$B$19-INPUT!B$21)</f>
        <v>322.94696969697</v>
      </c>
      <c r="C9" s="12" t="n">
        <f aca="false">(1+INPUT!C$82/INPUT!C$87)*(INPUT!$B$10-INPUT!$B$19-INPUT!C$21)</f>
        <v>328.82196969697</v>
      </c>
      <c r="D9" s="12" t="n">
        <f aca="false">(1+INPUT!D$82/INPUT!D$87)*(INPUT!$B$10-INPUT!$B$19-INPUT!D$21)</f>
        <v>332.738636363636</v>
      </c>
      <c r="E9" s="12" t="n">
        <f aca="false">(1+INPUT!E$82/INPUT!E$87)*(INPUT!$B$10-INPUT!$B$19-INPUT!E$21)</f>
        <v>332.738636363636</v>
      </c>
      <c r="F9" s="12" t="n">
        <f aca="false">(1+INPUT!F$82/INPUT!F$87)*(INPUT!$B$10-INPUT!$B$19-INPUT!F$21)</f>
        <v>332.738636363636</v>
      </c>
    </row>
    <row r="10" customFormat="false" ht="15" hidden="false" customHeight="true" outlineLevel="0" collapsed="false">
      <c r="A10" s="11" t="s">
        <v>353</v>
      </c>
      <c r="B10" s="12" t="n">
        <f aca="false">INPUT!B$92</f>
        <v>100</v>
      </c>
      <c r="C10" s="12" t="n">
        <f aca="false">INPUT!C$92</f>
        <v>100</v>
      </c>
      <c r="D10" s="12" t="n">
        <f aca="false">INPUT!D$92</f>
        <v>100</v>
      </c>
      <c r="E10" s="12" t="n">
        <f aca="false">INPUT!E$92</f>
        <v>100</v>
      </c>
      <c r="F10" s="12" t="n">
        <f aca="false">INPUT!F$92</f>
        <v>100</v>
      </c>
    </row>
    <row r="11" customFormat="false" ht="15" hidden="false" customHeight="true" outlineLevel="0" collapsed="false">
      <c r="A11" s="11" t="s">
        <v>354</v>
      </c>
      <c r="B11" s="56" t="n">
        <f aca="false">(1+INPUT!B$82/INPUT!B$87)*(INPUT!$B$10-INPUT!$B$19-INPUT!B$21)/INPUT!B$92</f>
        <v>3.2294696969697</v>
      </c>
      <c r="C11" s="56" t="n">
        <f aca="false">(1+INPUT!C$82/INPUT!C$87)*(INPUT!$B$10-INPUT!$B$19-INPUT!C$21)/INPUT!C$92</f>
        <v>3.2882196969697</v>
      </c>
      <c r="D11" s="56" t="n">
        <f aca="false">(1+INPUT!D$82/INPUT!D$87)*(INPUT!$B$10-INPUT!$B$19-INPUT!D$21)/INPUT!D$92</f>
        <v>3.32738636363636</v>
      </c>
      <c r="E11" s="56" t="n">
        <f aca="false">(1+INPUT!E$82/INPUT!E$87)*(INPUT!$B$10-INPUT!$B$19-INPUT!E$21)/INPUT!E$92</f>
        <v>3.32738636363636</v>
      </c>
      <c r="F11" s="56" t="n">
        <f aca="false">(1+INPUT!F$82/INPUT!F$87)*(INPUT!$B$10-INPUT!$B$19-INPUT!F$21)/INPUT!F$92</f>
        <v>3.32738636363636</v>
      </c>
    </row>
    <row r="12" customFormat="false" ht="15" hidden="false" customHeight="true" outlineLevel="0" collapsed="false">
      <c r="A12" s="11" t="s">
        <v>355</v>
      </c>
      <c r="B12" s="55" t="n">
        <f aca="false">INPUT!B$92/(INPUT!$B$10-INPUT!$B$19-INPUT!B$21)</f>
        <v>1.21278941565601</v>
      </c>
      <c r="C12" s="55" t="n">
        <f aca="false">INPUT!C$92/(INPUT!$B$10-INPUT!$B$19-INPUT!C$21)</f>
        <v>1.19112073632918</v>
      </c>
      <c r="D12" s="55" t="n">
        <f aca="false">INPUT!D$92/(INPUT!$B$10-INPUT!$B$19-INPUT!D$21)</f>
        <v>1.17710005350455</v>
      </c>
      <c r="E12" s="55" t="n">
        <f aca="false">INPUT!E$92/(INPUT!$B$10-INPUT!$B$19-INPUT!E$21)</f>
        <v>1.17710005350455</v>
      </c>
      <c r="F12" s="55" t="n">
        <f aca="false">INPUT!F$92/(INPUT!$B$10-INPUT!$B$19-INPUT!F$21)</f>
        <v>1.17710005350455</v>
      </c>
    </row>
    <row r="13" customFormat="false" ht="15" hidden="false" customHeight="true" outlineLevel="0" collapsed="false">
      <c r="A13" s="11" t="s">
        <v>356</v>
      </c>
      <c r="B13" s="55" t="n">
        <f aca="false">INPUT!B$24/SUM(MODELL!B22:M22)</f>
        <v>65</v>
      </c>
      <c r="C13" s="55" t="n">
        <f aca="false">INPUT!C$24/SUM(MODELL!N22:Y22)</f>
        <v>70</v>
      </c>
      <c r="D13" s="55" t="n">
        <f aca="false">INPUT!D$24/SUM(MODELL!Z22:AK22)</f>
        <v>75</v>
      </c>
      <c r="E13" s="55" t="n">
        <f aca="false">INPUT!E$24/SUM(MODELL!AL22:AW22)</f>
        <v>78</v>
      </c>
      <c r="F13" s="55" t="n">
        <f aca="false">INPUT!F$24/SUM(MODELL!AX22:BI22)</f>
        <v>80</v>
      </c>
    </row>
    <row r="14" customFormat="false" ht="15" hidden="false" customHeight="true" outlineLevel="0" collapsed="false">
      <c r="A14" s="11" t="s">
        <v>357</v>
      </c>
      <c r="B14" s="12" t="n">
        <f aca="false">SUM(MODELL!B49:M49)</f>
        <v>13953.0993388617</v>
      </c>
      <c r="C14" s="12" t="n">
        <f aca="false">SUM(MODELL!N49:Y49)</f>
        <v>41298.0378217469</v>
      </c>
      <c r="D14" s="12" t="n">
        <f aca="false">SUM(MODELL!Z49:AK49)</f>
        <v>85474.1528164816</v>
      </c>
      <c r="E14" s="12" t="n">
        <f aca="false">SUM(MODELL!AL49:AW49)</f>
        <v>140347.903685229</v>
      </c>
      <c r="F14" s="12" t="n">
        <f aca="false">SUM(MODELL!AX49:BI49)</f>
        <v>205627.923116393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A6A"/>
    <pageSetUpPr fitToPage="false"/>
  </sheetPr>
  <dimension ref="A1:F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15"/>
  </cols>
  <sheetData>
    <row r="1" customFormat="false" ht="15.75" hidden="false" customHeight="true" outlineLevel="0" collapsed="false">
      <c r="A1" s="14" t="s">
        <v>358</v>
      </c>
    </row>
    <row r="3" customFormat="false" ht="15" hidden="false" customHeight="true" outlineLevel="0" collapsed="false">
      <c r="A3" s="7" t="s">
        <v>359</v>
      </c>
      <c r="B3" s="8"/>
      <c r="C3" s="8"/>
      <c r="D3" s="8"/>
      <c r="E3" s="8"/>
      <c r="F3" s="8"/>
    </row>
    <row r="4" customFormat="false" ht="15" hidden="false" customHeight="true" outlineLevel="0" collapsed="false">
      <c r="B4" s="9" t="s">
        <v>5</v>
      </c>
      <c r="C4" s="9" t="s">
        <v>6</v>
      </c>
      <c r="D4" s="9" t="s">
        <v>7</v>
      </c>
      <c r="E4" s="9" t="s">
        <v>8</v>
      </c>
      <c r="F4" s="9" t="s">
        <v>9</v>
      </c>
    </row>
    <row r="5" customFormat="false" ht="15" hidden="false" customHeight="true" outlineLevel="0" collapsed="false">
      <c r="A5" s="4" t="s">
        <v>360</v>
      </c>
      <c r="B5" s="10" t="n">
        <f aca="false">INPUT!B$24</f>
        <v>120000</v>
      </c>
      <c r="C5" s="10" t="n">
        <f aca="false">INPUT!C$24</f>
        <v>300000</v>
      </c>
      <c r="D5" s="10" t="n">
        <f aca="false">INPUT!D$24</f>
        <v>500000</v>
      </c>
      <c r="E5" s="10" t="n">
        <f aca="false">INPUT!E$24</f>
        <v>800000</v>
      </c>
      <c r="F5" s="10" t="n">
        <f aca="false">INPUT!F$24</f>
        <v>1100000</v>
      </c>
    </row>
    <row r="6" customFormat="false" ht="15" hidden="false" customHeight="true" outlineLevel="0" collapsed="false">
      <c r="A6" s="11" t="s">
        <v>361</v>
      </c>
      <c r="B6" s="12" t="n">
        <f aca="false">INPUT!B$24*0.55</f>
        <v>66000</v>
      </c>
      <c r="C6" s="12" t="n">
        <f aca="false">INPUT!C$24*0.55</f>
        <v>165000</v>
      </c>
      <c r="D6" s="12" t="n">
        <f aca="false">INPUT!D$24*0.55</f>
        <v>275000</v>
      </c>
      <c r="E6" s="12" t="n">
        <f aca="false">INPUT!E$24*0.55</f>
        <v>440000</v>
      </c>
      <c r="F6" s="12" t="n">
        <f aca="false">INPUT!F$24*0.55</f>
        <v>605000</v>
      </c>
    </row>
    <row r="7" customFormat="false" ht="15" hidden="false" customHeight="true" outlineLevel="0" collapsed="false">
      <c r="A7" s="11" t="s">
        <v>362</v>
      </c>
      <c r="B7" s="12" t="n">
        <f aca="false">INPUT!B$24*0.45</f>
        <v>54000</v>
      </c>
      <c r="C7" s="12" t="n">
        <f aca="false">INPUT!C$24*0.45</f>
        <v>135000</v>
      </c>
      <c r="D7" s="12" t="n">
        <f aca="false">INPUT!D$24*0.45</f>
        <v>225000</v>
      </c>
      <c r="E7" s="12" t="n">
        <f aca="false">INPUT!E$24*0.45</f>
        <v>360000</v>
      </c>
      <c r="F7" s="12" t="n">
        <f aca="false">INPUT!F$24*0.45</f>
        <v>495000</v>
      </c>
    </row>
    <row r="8" customFormat="false" ht="15" hidden="false" customHeight="true" outlineLevel="0" collapsed="false">
      <c r="A8" s="11" t="s">
        <v>363</v>
      </c>
      <c r="B8" s="12" t="n">
        <f aca="false">INPUT!B$25</f>
        <v>80000</v>
      </c>
      <c r="C8" s="12" t="n">
        <f aca="false">INPUT!C$25</f>
        <v>150000</v>
      </c>
      <c r="D8" s="12" t="n">
        <f aca="false">INPUT!D$25</f>
        <v>200000</v>
      </c>
      <c r="E8" s="12" t="n">
        <f aca="false">INPUT!E$25</f>
        <v>300000</v>
      </c>
      <c r="F8" s="12" t="n">
        <f aca="false">INPUT!F$25</f>
        <v>400000</v>
      </c>
    </row>
    <row r="9" customFormat="false" ht="15" hidden="false" customHeight="true" outlineLevel="0" collapsed="false">
      <c r="A9" s="11" t="s">
        <v>364</v>
      </c>
      <c r="B9" s="12" t="n">
        <f aca="false">SUM(MODELL!B54:M54)</f>
        <v>38404.5013993862</v>
      </c>
      <c r="C9" s="12" t="n">
        <f aca="false">SUM(MODELL!N54:Y54)</f>
        <v>46876.8435043069</v>
      </c>
      <c r="D9" s="12" t="n">
        <f aca="false">SUM(MODELL!Z54:AK54)</f>
        <v>90540.9085882524</v>
      </c>
      <c r="E9" s="12" t="n">
        <f aca="false">SUM(MODELL!AL54:AW54)</f>
        <v>136308.67732303</v>
      </c>
      <c r="F9" s="12" t="n">
        <f aca="false">SUM(MODELL!AX54:BI54)</f>
        <v>181397.932032479</v>
      </c>
    </row>
    <row r="10" customFormat="false" ht="15" hidden="false" customHeight="true" outlineLevel="0" collapsed="false">
      <c r="A10" s="11" t="s">
        <v>365</v>
      </c>
      <c r="B10" s="12" t="n">
        <f aca="false">SUM(MODELL!B56:M56)</f>
        <v>23108.2914573797</v>
      </c>
      <c r="C10" s="12" t="n">
        <f aca="false">SUM(MODELL!N56:Y56)</f>
        <v>59593.4919734356</v>
      </c>
      <c r="D10" s="12" t="n">
        <f aca="false">SUM(MODELL!Z56:AK56)</f>
        <v>110416.699296101</v>
      </c>
      <c r="E10" s="12" t="n">
        <f aca="false">SUM(MODELL!AL56:AW56)</f>
        <v>179036.944581764</v>
      </c>
      <c r="F10" s="12" t="n">
        <f aca="false">SUM(MODELL!AX56:BI56)</f>
        <v>258590.264376042</v>
      </c>
    </row>
    <row r="12" customFormat="false" ht="15" hidden="false" customHeight="true" outlineLevel="0" collapsed="false">
      <c r="A12" s="7" t="s">
        <v>366</v>
      </c>
      <c r="B12" s="8"/>
      <c r="C12" s="8"/>
      <c r="D12" s="8"/>
      <c r="E12" s="8"/>
      <c r="F12" s="8"/>
    </row>
    <row r="13" customFormat="false" ht="15" hidden="false" customHeight="true" outlineLevel="0" collapsed="false">
      <c r="B13" s="9" t="s">
        <v>5</v>
      </c>
      <c r="C13" s="9" t="s">
        <v>6</v>
      </c>
      <c r="D13" s="9" t="s">
        <v>7</v>
      </c>
      <c r="E13" s="9" t="s">
        <v>8</v>
      </c>
      <c r="F13" s="9" t="s">
        <v>9</v>
      </c>
    </row>
    <row r="14" customFormat="false" ht="15" hidden="false" customHeight="true" outlineLevel="0" collapsed="false">
      <c r="A14" s="11" t="s">
        <v>367</v>
      </c>
      <c r="B14" s="13" t="n">
        <f aca="false">INPUT!B$23</f>
        <v>0.35</v>
      </c>
      <c r="C14" s="13" t="n">
        <f aca="false">INPUT!C$23</f>
        <v>0.3</v>
      </c>
      <c r="D14" s="13" t="n">
        <f aca="false">INPUT!D$23</f>
        <v>0.25</v>
      </c>
      <c r="E14" s="13" t="n">
        <f aca="false">INPUT!E$23</f>
        <v>0.22</v>
      </c>
      <c r="F14" s="13" t="n">
        <f aca="false">INPUT!F$23</f>
        <v>0.2</v>
      </c>
    </row>
    <row r="15" customFormat="false" ht="15" hidden="false" customHeight="true" outlineLevel="0" collapsed="false">
      <c r="A15" s="4" t="s">
        <v>347</v>
      </c>
      <c r="B15" s="10" t="n">
        <f aca="false">SUM(MODELL!B22:M22)</f>
        <v>1846.15384615385</v>
      </c>
      <c r="C15" s="10" t="n">
        <f aca="false">SUM(MODELL!N22:Y22)</f>
        <v>4285.71428571429</v>
      </c>
      <c r="D15" s="10" t="n">
        <f aca="false">SUM(MODELL!Z22:AK22)</f>
        <v>6666.66666666667</v>
      </c>
      <c r="E15" s="10" t="n">
        <f aca="false">SUM(MODELL!AL22:AW22)</f>
        <v>10256.4102564103</v>
      </c>
      <c r="F15" s="10" t="n">
        <f aca="false">SUM(MODELL!AX22:BI22)</f>
        <v>13750</v>
      </c>
    </row>
    <row r="16" customFormat="false" ht="15" hidden="false" customHeight="true" outlineLevel="0" collapsed="false">
      <c r="A16" s="11" t="s">
        <v>368</v>
      </c>
      <c r="B16" s="12" t="n">
        <f aca="false">SUM(MODELL!B22:M22)*INPUT!B$23</f>
        <v>646.153846153846</v>
      </c>
      <c r="C16" s="12" t="n">
        <f aca="false">SUM(MODELL!N22:Y22)*INPUT!C$23</f>
        <v>1285.71428571429</v>
      </c>
      <c r="D16" s="12" t="n">
        <f aca="false">SUM(MODELL!Z22:AK22)*INPUT!D$23</f>
        <v>1666.66666666667</v>
      </c>
      <c r="E16" s="12" t="n">
        <f aca="false">SUM(MODELL!AL22:AW22)*INPUT!E$23</f>
        <v>2256.41025641026</v>
      </c>
      <c r="F16" s="12" t="n">
        <f aca="false">SUM(MODELL!AX22:BI22)*INPUT!F$23</f>
        <v>2750</v>
      </c>
    </row>
    <row r="17" customFormat="false" ht="15" hidden="false" customHeight="true" outlineLevel="0" collapsed="false">
      <c r="A17" s="11" t="s">
        <v>369</v>
      </c>
      <c r="B17" s="12" t="n">
        <f aca="false">SUM(MODELL!B22:M22)*(1-INPUT!B$23)</f>
        <v>1200</v>
      </c>
      <c r="C17" s="12" t="n">
        <f aca="false">SUM(MODELL!N22:Y22)*(1-INPUT!C$23)</f>
        <v>3000</v>
      </c>
      <c r="D17" s="12" t="n">
        <f aca="false">SUM(MODELL!Z22:AK22)*(1-INPUT!D$23)</f>
        <v>5000</v>
      </c>
      <c r="E17" s="12" t="n">
        <f aca="false">SUM(MODELL!AL22:AW22)*(1-INPUT!E$23)</f>
        <v>8000</v>
      </c>
      <c r="F17" s="12" t="n">
        <f aca="false">SUM(MODELL!AX22:BI22)*(1-INPUT!F$23)</f>
        <v>11000</v>
      </c>
    </row>
    <row r="18" customFormat="false" ht="15" hidden="false" customHeight="true" outlineLevel="0" collapsed="false">
      <c r="A18" s="11" t="s">
        <v>370</v>
      </c>
      <c r="B18" s="12" t="n">
        <f aca="false">INPUT!B$92</f>
        <v>100</v>
      </c>
      <c r="C18" s="12" t="n">
        <f aca="false">INPUT!C$92</f>
        <v>100</v>
      </c>
      <c r="D18" s="12" t="n">
        <f aca="false">INPUT!D$92</f>
        <v>100</v>
      </c>
      <c r="E18" s="12" t="n">
        <f aca="false">INPUT!E$92</f>
        <v>100</v>
      </c>
      <c r="F18" s="12" t="n">
        <f aca="false">INPUT!F$92</f>
        <v>100</v>
      </c>
    </row>
    <row r="19" customFormat="false" ht="15" hidden="false" customHeight="true" outlineLevel="0" collapsed="false">
      <c r="A19" s="11" t="s">
        <v>356</v>
      </c>
      <c r="B19" s="55" t="n">
        <f aca="false">INPUT!B$24/SUM(MODELL!B22:M22)</f>
        <v>65</v>
      </c>
      <c r="C19" s="55" t="n">
        <f aca="false">INPUT!C$24/SUM(MODELL!N22:Y22)</f>
        <v>70</v>
      </c>
      <c r="D19" s="55" t="n">
        <f aca="false">INPUT!D$24/SUM(MODELL!Z22:AK22)</f>
        <v>75</v>
      </c>
      <c r="E19" s="55" t="n">
        <f aca="false">INPUT!E$24/SUM(MODELL!AL22:AW22)</f>
        <v>78</v>
      </c>
      <c r="F19" s="55" t="n">
        <f aca="false">INPUT!F$24/SUM(MODELL!AX22:BI22)</f>
        <v>80</v>
      </c>
    </row>
    <row r="21" customFormat="false" ht="15" hidden="false" customHeight="true" outlineLevel="0" collapsed="false">
      <c r="A21" s="7" t="s">
        <v>371</v>
      </c>
      <c r="B21" s="8"/>
      <c r="C21" s="8"/>
      <c r="D21" s="8"/>
      <c r="E21" s="8"/>
      <c r="F21" s="8"/>
    </row>
    <row r="22" customFormat="false" ht="15" hidden="false" customHeight="true" outlineLevel="0" collapsed="false">
      <c r="B22" s="9" t="s">
        <v>5</v>
      </c>
      <c r="C22" s="9" t="s">
        <v>6</v>
      </c>
      <c r="D22" s="9" t="s">
        <v>7</v>
      </c>
      <c r="E22" s="9" t="s">
        <v>8</v>
      </c>
      <c r="F22" s="9" t="s">
        <v>9</v>
      </c>
    </row>
    <row r="23" customFormat="false" ht="15" hidden="false" customHeight="true" outlineLevel="0" collapsed="false">
      <c r="A23" s="11" t="s">
        <v>148</v>
      </c>
      <c r="B23" s="12" t="n">
        <f aca="false">MODELL!M30</f>
        <v>10</v>
      </c>
      <c r="C23" s="12" t="n">
        <f aca="false">MODELL!Y30</f>
        <v>22</v>
      </c>
      <c r="D23" s="12" t="n">
        <f aca="false">MODELL!AK30</f>
        <v>32</v>
      </c>
      <c r="E23" s="12" t="n">
        <f aca="false">MODELL!AW30</f>
        <v>40</v>
      </c>
      <c r="F23" s="12" t="n">
        <f aca="false">MODELL!BI30</f>
        <v>48</v>
      </c>
    </row>
    <row r="24" customFormat="false" ht="15" hidden="false" customHeight="true" outlineLevel="0" collapsed="false">
      <c r="A24" s="11" t="s">
        <v>149</v>
      </c>
      <c r="B24" s="12" t="n">
        <f aca="false">MODELL!M31</f>
        <v>15</v>
      </c>
      <c r="C24" s="12" t="n">
        <f aca="false">MODELL!Y31</f>
        <v>40</v>
      </c>
      <c r="D24" s="12" t="n">
        <f aca="false">MODELL!AK31</f>
        <v>75</v>
      </c>
      <c r="E24" s="12" t="n">
        <f aca="false">MODELL!AW31</f>
        <v>110</v>
      </c>
      <c r="F24" s="12" t="n">
        <f aca="false">MODELL!BI31</f>
        <v>150</v>
      </c>
    </row>
    <row r="25" customFormat="false" ht="15" hidden="false" customHeight="true" outlineLevel="0" collapsed="false">
      <c r="A25" s="11" t="s">
        <v>150</v>
      </c>
      <c r="B25" s="12" t="n">
        <f aca="false">MODELL!M39</f>
        <v>40</v>
      </c>
      <c r="C25" s="12" t="n">
        <f aca="false">MODELL!Y39</f>
        <v>90</v>
      </c>
      <c r="D25" s="12" t="n">
        <f aca="false">MODELL!AK39</f>
        <v>150</v>
      </c>
      <c r="E25" s="12" t="n">
        <f aca="false">MODELL!AW39</f>
        <v>210</v>
      </c>
      <c r="F25" s="12" t="n">
        <f aca="false">MODELL!BI39</f>
        <v>270</v>
      </c>
    </row>
    <row r="26" customFormat="false" ht="15" hidden="false" customHeight="true" outlineLevel="0" collapsed="false">
      <c r="A26" s="11" t="s">
        <v>372</v>
      </c>
      <c r="B26" s="12" t="n">
        <f aca="false">SUM(MODELL!B32:M32)</f>
        <v>3097.5</v>
      </c>
      <c r="C26" s="12" t="n">
        <f aca="false">SUM(MODELL!N32:Y32)</f>
        <v>7834.5</v>
      </c>
      <c r="D26" s="12" t="n">
        <f aca="false">SUM(MODELL!Z32:AK32)</f>
        <v>14263.5</v>
      </c>
      <c r="E26" s="12" t="n">
        <f aca="false">SUM(MODELL!AL32:AW32)</f>
        <v>20611.5</v>
      </c>
      <c r="F26" s="12" t="n">
        <f aca="false">SUM(MODELL!AX32:BI32)</f>
        <v>26988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3434"/>
    <pageSetUpPr fitToPage="false"/>
  </sheetPr>
  <dimension ref="A1:F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6" min="2" style="1" width="15"/>
  </cols>
  <sheetData>
    <row r="1" customFormat="false" ht="15.75" hidden="false" customHeight="true" outlineLevel="0" collapsed="false">
      <c r="A1" s="14" t="s">
        <v>373</v>
      </c>
    </row>
    <row r="3" customFormat="false" ht="15" hidden="false" customHeight="true" outlineLevel="0" collapsed="false">
      <c r="A3" s="7" t="s">
        <v>374</v>
      </c>
      <c r="B3" s="8"/>
      <c r="C3" s="8"/>
      <c r="D3" s="8"/>
      <c r="E3" s="8"/>
      <c r="F3" s="8"/>
    </row>
    <row r="4" customFormat="false" ht="15" hidden="false" customHeight="true" outlineLevel="0" collapsed="false">
      <c r="B4" s="9" t="s">
        <v>5</v>
      </c>
      <c r="C4" s="9" t="s">
        <v>6</v>
      </c>
      <c r="D4" s="9" t="s">
        <v>7</v>
      </c>
      <c r="E4" s="9" t="s">
        <v>8</v>
      </c>
      <c r="F4" s="9" t="s">
        <v>9</v>
      </c>
    </row>
    <row r="5" customFormat="false" ht="15" hidden="false" customHeight="true" outlineLevel="0" collapsed="false">
      <c r="A5" s="11" t="s">
        <v>375</v>
      </c>
      <c r="B5" s="12" t="n">
        <f aca="false">1</f>
        <v>1</v>
      </c>
      <c r="C5" s="12" t="n">
        <f aca="false">1</f>
        <v>1</v>
      </c>
      <c r="D5" s="12" t="n">
        <f aca="false">1</f>
        <v>1</v>
      </c>
      <c r="E5" s="12" t="n">
        <f aca="false">1</f>
        <v>1</v>
      </c>
      <c r="F5" s="12" t="n">
        <f aca="false">1</f>
        <v>1</v>
      </c>
    </row>
    <row r="6" customFormat="false" ht="15" hidden="false" customHeight="true" outlineLevel="0" collapsed="false">
      <c r="A6" s="11" t="s">
        <v>376</v>
      </c>
      <c r="B6" s="12" t="n">
        <f aca="false">MODELL!M62</f>
        <v>1</v>
      </c>
      <c r="C6" s="12" t="n">
        <f aca="false">MODELL!Y62</f>
        <v>1</v>
      </c>
      <c r="D6" s="12" t="n">
        <f aca="false">MODELL!AK62</f>
        <v>2</v>
      </c>
      <c r="E6" s="12" t="n">
        <f aca="false">MODELL!AW62</f>
        <v>2</v>
      </c>
      <c r="F6" s="12" t="n">
        <f aca="false">MODELL!BI62</f>
        <v>2</v>
      </c>
    </row>
    <row r="7" customFormat="false" ht="15" hidden="false" customHeight="true" outlineLevel="0" collapsed="false">
      <c r="A7" s="11" t="s">
        <v>377</v>
      </c>
      <c r="B7" s="12" t="n">
        <f aca="false">MODELL!M61</f>
        <v>1</v>
      </c>
      <c r="C7" s="12" t="n">
        <f aca="false">MODELL!Y61</f>
        <v>1</v>
      </c>
      <c r="D7" s="12" t="n">
        <f aca="false">MODELL!AK61</f>
        <v>1</v>
      </c>
      <c r="E7" s="12" t="n">
        <f aca="false">MODELL!AW61</f>
        <v>2</v>
      </c>
      <c r="F7" s="12" t="n">
        <f aca="false">MODELL!BI61</f>
        <v>2</v>
      </c>
    </row>
    <row r="8" customFormat="false" ht="15" hidden="false" customHeight="true" outlineLevel="0" collapsed="false">
      <c r="A8" s="11" t="s">
        <v>378</v>
      </c>
      <c r="B8" s="12" t="n">
        <f aca="false">MODELL!M60</f>
        <v>1</v>
      </c>
      <c r="C8" s="12" t="n">
        <f aca="false">MODELL!Y60</f>
        <v>2</v>
      </c>
      <c r="D8" s="12" t="n">
        <f aca="false">MODELL!AK60</f>
        <v>3</v>
      </c>
      <c r="E8" s="12" t="n">
        <f aca="false">MODELL!AW60</f>
        <v>4</v>
      </c>
      <c r="F8" s="12" t="n">
        <f aca="false">MODELL!BI60</f>
        <v>5</v>
      </c>
    </row>
    <row r="9" customFormat="false" ht="15" hidden="false" customHeight="true" outlineLevel="0" collapsed="false">
      <c r="A9" s="4" t="s">
        <v>379</v>
      </c>
      <c r="B9" s="10" t="n">
        <f aca="false">1+MODELL!M62+MODELL!M61+MODELL!M60</f>
        <v>4</v>
      </c>
      <c r="C9" s="10" t="n">
        <f aca="false">1+MODELL!Y62+MODELL!Y61+MODELL!Y60</f>
        <v>5</v>
      </c>
      <c r="D9" s="10" t="n">
        <f aca="false">1+MODELL!AK62+MODELL!AK61+MODELL!AK60</f>
        <v>7</v>
      </c>
      <c r="E9" s="10" t="n">
        <f aca="false">1+MODELL!AW62+MODELL!AW61+MODELL!AW60</f>
        <v>9</v>
      </c>
      <c r="F9" s="10" t="n">
        <f aca="false">1+MODELL!BI62+MODELL!BI61+MODELL!BI60</f>
        <v>10</v>
      </c>
    </row>
    <row r="11" customFormat="false" ht="15" hidden="false" customHeight="true" outlineLevel="0" collapsed="false">
      <c r="A11" s="7" t="s">
        <v>380</v>
      </c>
      <c r="B11" s="8"/>
      <c r="C11" s="8"/>
      <c r="D11" s="8"/>
      <c r="E11" s="8"/>
      <c r="F11" s="8"/>
    </row>
    <row r="12" customFormat="false" ht="15" hidden="false" customHeight="true" outlineLevel="0" collapsed="false">
      <c r="B12" s="9" t="s">
        <v>5</v>
      </c>
      <c r="C12" s="9" t="s">
        <v>6</v>
      </c>
      <c r="D12" s="9" t="s">
        <v>7</v>
      </c>
      <c r="E12" s="9" t="s">
        <v>8</v>
      </c>
      <c r="F12" s="9" t="s">
        <v>9</v>
      </c>
    </row>
    <row r="13" customFormat="false" ht="15" hidden="false" customHeight="true" outlineLevel="0" collapsed="false">
      <c r="A13" s="4" t="s">
        <v>381</v>
      </c>
      <c r="B13" s="10" t="n">
        <f aca="false">SUM(MODELL!B64:M64)</f>
        <v>236000</v>
      </c>
      <c r="C13" s="10" t="n">
        <f aca="false">SUM(MODELL!N64:Y64)</f>
        <v>415401.803169919</v>
      </c>
      <c r="D13" s="10" t="n">
        <f aca="false">SUM(MODELL!Z64:AK64)</f>
        <v>629233.773965422</v>
      </c>
      <c r="E13" s="10" t="n">
        <f aca="false">SUM(MODELL!AL64:AW64)</f>
        <v>846388.808802365</v>
      </c>
      <c r="F13" s="10" t="n">
        <f aca="false">SUM(MODELL!AX64:BI64)</f>
        <v>1022600.29765072</v>
      </c>
    </row>
    <row r="14" customFormat="false" ht="15" hidden="false" customHeight="true" outlineLevel="0" collapsed="false">
      <c r="A14" s="11" t="s">
        <v>382</v>
      </c>
      <c r="B14" s="12" t="n">
        <f aca="false">SUM(MODELL!B63:M63)</f>
        <v>0</v>
      </c>
      <c r="C14" s="12" t="n">
        <f aca="false">SUM(MODELL!N63:Y63)</f>
        <v>64401.8031699193</v>
      </c>
      <c r="D14" s="12" t="n">
        <f aca="false">SUM(MODELL!Z63:AK63)</f>
        <v>121233.773965422</v>
      </c>
      <c r="E14" s="12" t="n">
        <f aca="false">SUM(MODELL!AL63:AW63)</f>
        <v>198388.808802365</v>
      </c>
      <c r="F14" s="12" t="n">
        <f aca="false">SUM(MODELL!AX63:BI63)</f>
        <v>289600.297650715</v>
      </c>
    </row>
    <row r="15" customFormat="false" ht="15" hidden="false" customHeight="true" outlineLevel="0" collapsed="false">
      <c r="A15" s="11" t="s">
        <v>79</v>
      </c>
      <c r="B15" s="12" t="n">
        <f aca="false">SUM(MODELL!B71:M71)</f>
        <v>35000</v>
      </c>
      <c r="C15" s="12" t="n">
        <f aca="false">SUM(MODELL!N71:Y71)</f>
        <v>60000</v>
      </c>
      <c r="D15" s="12" t="n">
        <f aca="false">SUM(MODELL!Z71:AK71)</f>
        <v>60000</v>
      </c>
      <c r="E15" s="12" t="n">
        <f aca="false">SUM(MODELL!AL71:AW71)</f>
        <v>60000</v>
      </c>
      <c r="F15" s="12" t="n">
        <f aca="false">SUM(MODELL!AX71:BI71)</f>
        <v>60000</v>
      </c>
    </row>
    <row r="17" customFormat="false" ht="15" hidden="false" customHeight="true" outlineLevel="0" collapsed="false">
      <c r="A17" s="6" t="s">
        <v>383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3434"/>
    <pageSetUpPr fitToPage="false"/>
  </sheetPr>
  <dimension ref="A1:BI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64"/>
  </cols>
  <sheetData>
    <row r="1" customFormat="false" ht="15.75" hidden="false" customHeight="true" outlineLevel="0" collapsed="false">
      <c r="A1" s="14" t="s">
        <v>384</v>
      </c>
    </row>
    <row r="2" customFormat="false" ht="15" hidden="false" customHeight="true" outlineLevel="0" collapsed="false">
      <c r="A2" s="4" t="s">
        <v>284</v>
      </c>
      <c r="B2" s="57" t="s">
        <v>285</v>
      </c>
      <c r="C2" s="57" t="s">
        <v>286</v>
      </c>
      <c r="D2" s="57" t="s">
        <v>287</v>
      </c>
      <c r="E2" s="57" t="s">
        <v>288</v>
      </c>
      <c r="F2" s="57" t="s">
        <v>289</v>
      </c>
      <c r="G2" s="57" t="s">
        <v>290</v>
      </c>
      <c r="H2" s="57" t="s">
        <v>291</v>
      </c>
      <c r="I2" s="57" t="s">
        <v>292</v>
      </c>
      <c r="J2" s="57" t="s">
        <v>293</v>
      </c>
      <c r="K2" s="57" t="s">
        <v>294</v>
      </c>
      <c r="L2" s="57" t="s">
        <v>295</v>
      </c>
      <c r="M2" s="57" t="s">
        <v>296</v>
      </c>
      <c r="N2" s="57" t="s">
        <v>297</v>
      </c>
      <c r="O2" s="57" t="s">
        <v>298</v>
      </c>
      <c r="P2" s="57" t="s">
        <v>299</v>
      </c>
      <c r="Q2" s="57" t="s">
        <v>300</v>
      </c>
      <c r="R2" s="57" t="s">
        <v>301</v>
      </c>
      <c r="S2" s="57" t="s">
        <v>302</v>
      </c>
      <c r="T2" s="57" t="s">
        <v>303</v>
      </c>
      <c r="U2" s="57" t="s">
        <v>304</v>
      </c>
      <c r="V2" s="57" t="s">
        <v>305</v>
      </c>
      <c r="W2" s="57" t="s">
        <v>306</v>
      </c>
      <c r="X2" s="57" t="s">
        <v>307</v>
      </c>
      <c r="Y2" s="57" t="s">
        <v>308</v>
      </c>
      <c r="Z2" s="57" t="s">
        <v>309</v>
      </c>
      <c r="AA2" s="57" t="s">
        <v>310</v>
      </c>
      <c r="AB2" s="57" t="s">
        <v>311</v>
      </c>
      <c r="AC2" s="57" t="s">
        <v>312</v>
      </c>
      <c r="AD2" s="57" t="s">
        <v>313</v>
      </c>
      <c r="AE2" s="57" t="s">
        <v>314</v>
      </c>
      <c r="AF2" s="57" t="s">
        <v>315</v>
      </c>
      <c r="AG2" s="57" t="s">
        <v>316</v>
      </c>
      <c r="AH2" s="57" t="s">
        <v>317</v>
      </c>
      <c r="AI2" s="57" t="s">
        <v>318</v>
      </c>
      <c r="AJ2" s="57" t="s">
        <v>319</v>
      </c>
      <c r="AK2" s="57" t="s">
        <v>320</v>
      </c>
      <c r="AL2" s="57" t="s">
        <v>321</v>
      </c>
      <c r="AM2" s="57" t="s">
        <v>322</v>
      </c>
      <c r="AN2" s="57" t="s">
        <v>323</v>
      </c>
      <c r="AO2" s="57" t="s">
        <v>324</v>
      </c>
      <c r="AP2" s="57" t="s">
        <v>325</v>
      </c>
      <c r="AQ2" s="57" t="s">
        <v>326</v>
      </c>
      <c r="AR2" s="57" t="s">
        <v>327</v>
      </c>
      <c r="AS2" s="57" t="s">
        <v>328</v>
      </c>
      <c r="AT2" s="57" t="s">
        <v>329</v>
      </c>
      <c r="AU2" s="57" t="s">
        <v>330</v>
      </c>
      <c r="AV2" s="57" t="s">
        <v>331</v>
      </c>
      <c r="AW2" s="57" t="s">
        <v>332</v>
      </c>
      <c r="AX2" s="57" t="s">
        <v>333</v>
      </c>
      <c r="AY2" s="57" t="s">
        <v>334</v>
      </c>
      <c r="AZ2" s="57" t="s">
        <v>335</v>
      </c>
      <c r="BA2" s="57" t="s">
        <v>336</v>
      </c>
      <c r="BB2" s="57" t="s">
        <v>337</v>
      </c>
      <c r="BC2" s="57" t="s">
        <v>338</v>
      </c>
      <c r="BD2" s="57" t="s">
        <v>339</v>
      </c>
      <c r="BE2" s="57" t="s">
        <v>340</v>
      </c>
      <c r="BF2" s="57" t="s">
        <v>341</v>
      </c>
      <c r="BG2" s="57" t="s">
        <v>342</v>
      </c>
      <c r="BH2" s="57" t="s">
        <v>343</v>
      </c>
      <c r="BI2" s="57" t="s">
        <v>344</v>
      </c>
    </row>
    <row r="3" customFormat="false" ht="15" hidden="false" customHeight="true" outlineLevel="0" collapsed="false">
      <c r="A3" s="6" t="s">
        <v>385</v>
      </c>
      <c r="B3" s="6" t="n">
        <f aca="false">MIN(5,INT((0)/12)+1)</f>
        <v>1</v>
      </c>
      <c r="C3" s="6" t="n">
        <f aca="false">MIN(5,INT((1)/12)+1)</f>
        <v>1</v>
      </c>
      <c r="D3" s="6" t="n">
        <f aca="false">MIN(5,INT((2)/12)+1)</f>
        <v>1</v>
      </c>
      <c r="E3" s="6" t="n">
        <f aca="false">MIN(5,INT((3)/12)+1)</f>
        <v>1</v>
      </c>
      <c r="F3" s="6" t="n">
        <f aca="false">MIN(5,INT((4)/12)+1)</f>
        <v>1</v>
      </c>
      <c r="G3" s="6" t="n">
        <f aca="false">MIN(5,INT((5)/12)+1)</f>
        <v>1</v>
      </c>
      <c r="H3" s="6" t="n">
        <f aca="false">MIN(5,INT((6)/12)+1)</f>
        <v>1</v>
      </c>
      <c r="I3" s="6" t="n">
        <f aca="false">MIN(5,INT((7)/12)+1)</f>
        <v>1</v>
      </c>
      <c r="J3" s="6" t="n">
        <f aca="false">MIN(5,INT((8)/12)+1)</f>
        <v>1</v>
      </c>
      <c r="K3" s="6" t="n">
        <f aca="false">MIN(5,INT((9)/12)+1)</f>
        <v>1</v>
      </c>
      <c r="L3" s="6" t="n">
        <f aca="false">MIN(5,INT((10)/12)+1)</f>
        <v>1</v>
      </c>
      <c r="M3" s="6" t="n">
        <f aca="false">MIN(5,INT((11)/12)+1)</f>
        <v>1</v>
      </c>
      <c r="N3" s="6" t="n">
        <f aca="false">MIN(5,INT((12)/12)+1)</f>
        <v>2</v>
      </c>
      <c r="O3" s="6" t="n">
        <f aca="false">MIN(5,INT((13)/12)+1)</f>
        <v>2</v>
      </c>
      <c r="P3" s="6" t="n">
        <f aca="false">MIN(5,INT((14)/12)+1)</f>
        <v>2</v>
      </c>
      <c r="Q3" s="6" t="n">
        <f aca="false">MIN(5,INT((15)/12)+1)</f>
        <v>2</v>
      </c>
      <c r="R3" s="6" t="n">
        <f aca="false">MIN(5,INT((16)/12)+1)</f>
        <v>2</v>
      </c>
      <c r="S3" s="6" t="n">
        <f aca="false">MIN(5,INT((17)/12)+1)</f>
        <v>2</v>
      </c>
      <c r="T3" s="6" t="n">
        <f aca="false">MIN(5,INT((18)/12)+1)</f>
        <v>2</v>
      </c>
      <c r="U3" s="6" t="n">
        <f aca="false">MIN(5,INT((19)/12)+1)</f>
        <v>2</v>
      </c>
      <c r="V3" s="6" t="n">
        <f aca="false">MIN(5,INT((20)/12)+1)</f>
        <v>2</v>
      </c>
      <c r="W3" s="6" t="n">
        <f aca="false">MIN(5,INT((21)/12)+1)</f>
        <v>2</v>
      </c>
      <c r="X3" s="6" t="n">
        <f aca="false">MIN(5,INT((22)/12)+1)</f>
        <v>2</v>
      </c>
      <c r="Y3" s="6" t="n">
        <f aca="false">MIN(5,INT((23)/12)+1)</f>
        <v>2</v>
      </c>
      <c r="Z3" s="6" t="n">
        <f aca="false">MIN(5,INT((24)/12)+1)</f>
        <v>3</v>
      </c>
      <c r="AA3" s="6" t="n">
        <f aca="false">MIN(5,INT((25)/12)+1)</f>
        <v>3</v>
      </c>
      <c r="AB3" s="6" t="n">
        <f aca="false">MIN(5,INT((26)/12)+1)</f>
        <v>3</v>
      </c>
      <c r="AC3" s="6" t="n">
        <f aca="false">MIN(5,INT((27)/12)+1)</f>
        <v>3</v>
      </c>
      <c r="AD3" s="6" t="n">
        <f aca="false">MIN(5,INT((28)/12)+1)</f>
        <v>3</v>
      </c>
      <c r="AE3" s="6" t="n">
        <f aca="false">MIN(5,INT((29)/12)+1)</f>
        <v>3</v>
      </c>
      <c r="AF3" s="6" t="n">
        <f aca="false">MIN(5,INT((30)/12)+1)</f>
        <v>3</v>
      </c>
      <c r="AG3" s="6" t="n">
        <f aca="false">MIN(5,INT((31)/12)+1)</f>
        <v>3</v>
      </c>
      <c r="AH3" s="6" t="n">
        <f aca="false">MIN(5,INT((32)/12)+1)</f>
        <v>3</v>
      </c>
      <c r="AI3" s="6" t="n">
        <f aca="false">MIN(5,INT((33)/12)+1)</f>
        <v>3</v>
      </c>
      <c r="AJ3" s="6" t="n">
        <f aca="false">MIN(5,INT((34)/12)+1)</f>
        <v>3</v>
      </c>
      <c r="AK3" s="6" t="n">
        <f aca="false">MIN(5,INT((35)/12)+1)</f>
        <v>3</v>
      </c>
      <c r="AL3" s="6" t="n">
        <f aca="false">MIN(5,INT((36)/12)+1)</f>
        <v>4</v>
      </c>
      <c r="AM3" s="6" t="n">
        <f aca="false">MIN(5,INT((37)/12)+1)</f>
        <v>4</v>
      </c>
      <c r="AN3" s="6" t="n">
        <f aca="false">MIN(5,INT((38)/12)+1)</f>
        <v>4</v>
      </c>
      <c r="AO3" s="6" t="n">
        <f aca="false">MIN(5,INT((39)/12)+1)</f>
        <v>4</v>
      </c>
      <c r="AP3" s="6" t="n">
        <f aca="false">MIN(5,INT((40)/12)+1)</f>
        <v>4</v>
      </c>
      <c r="AQ3" s="6" t="n">
        <f aca="false">MIN(5,INT((41)/12)+1)</f>
        <v>4</v>
      </c>
      <c r="AR3" s="6" t="n">
        <f aca="false">MIN(5,INT((42)/12)+1)</f>
        <v>4</v>
      </c>
      <c r="AS3" s="6" t="n">
        <f aca="false">MIN(5,INT((43)/12)+1)</f>
        <v>4</v>
      </c>
      <c r="AT3" s="6" t="n">
        <f aca="false">MIN(5,INT((44)/12)+1)</f>
        <v>4</v>
      </c>
      <c r="AU3" s="6" t="n">
        <f aca="false">MIN(5,INT((45)/12)+1)</f>
        <v>4</v>
      </c>
      <c r="AV3" s="6" t="n">
        <f aca="false">MIN(5,INT((46)/12)+1)</f>
        <v>4</v>
      </c>
      <c r="AW3" s="6" t="n">
        <f aca="false">MIN(5,INT((47)/12)+1)</f>
        <v>4</v>
      </c>
      <c r="AX3" s="6" t="n">
        <f aca="false">MIN(5,INT((48)/12)+1)</f>
        <v>5</v>
      </c>
      <c r="AY3" s="6" t="n">
        <f aca="false">MIN(5,INT((49)/12)+1)</f>
        <v>5</v>
      </c>
      <c r="AZ3" s="6" t="n">
        <f aca="false">MIN(5,INT((50)/12)+1)</f>
        <v>5</v>
      </c>
      <c r="BA3" s="6" t="n">
        <f aca="false">MIN(5,INT((51)/12)+1)</f>
        <v>5</v>
      </c>
      <c r="BB3" s="6" t="n">
        <f aca="false">MIN(5,INT((52)/12)+1)</f>
        <v>5</v>
      </c>
      <c r="BC3" s="6" t="n">
        <f aca="false">MIN(5,INT((53)/12)+1)</f>
        <v>5</v>
      </c>
      <c r="BD3" s="6" t="n">
        <f aca="false">MIN(5,INT((54)/12)+1)</f>
        <v>5</v>
      </c>
      <c r="BE3" s="6" t="n">
        <f aca="false">MIN(5,INT((55)/12)+1)</f>
        <v>5</v>
      </c>
      <c r="BF3" s="6" t="n">
        <f aca="false">MIN(5,INT((56)/12)+1)</f>
        <v>5</v>
      </c>
      <c r="BG3" s="6" t="n">
        <f aca="false">MIN(5,INT((57)/12)+1)</f>
        <v>5</v>
      </c>
      <c r="BH3" s="6" t="n">
        <f aca="false">MIN(5,INT((58)/12)+1)</f>
        <v>5</v>
      </c>
      <c r="BI3" s="6" t="n">
        <f aca="false">MIN(5,INT((59)/12)+1)</f>
        <v>5</v>
      </c>
    </row>
    <row r="4" customFormat="false" ht="15" hidden="false" customHeight="true" outlineLevel="0" collapsed="false">
      <c r="A4" s="6" t="s">
        <v>386</v>
      </c>
      <c r="B4" s="58" t="n">
        <f aca="false">MIN(4,INT((0)/12))</f>
        <v>0</v>
      </c>
      <c r="C4" s="58" t="n">
        <f aca="false">MIN(4,INT((1)/12))</f>
        <v>0</v>
      </c>
      <c r="D4" s="58" t="n">
        <f aca="false">MIN(4,INT((2)/12))</f>
        <v>0</v>
      </c>
      <c r="E4" s="58" t="n">
        <f aca="false">MIN(4,INT((3)/12))</f>
        <v>0</v>
      </c>
      <c r="F4" s="58" t="n">
        <f aca="false">MIN(4,INT((4)/12))</f>
        <v>0</v>
      </c>
      <c r="G4" s="58" t="n">
        <f aca="false">MIN(4,INT((5)/12))</f>
        <v>0</v>
      </c>
      <c r="H4" s="58" t="n">
        <f aca="false">MIN(4,INT((6)/12))</f>
        <v>0</v>
      </c>
      <c r="I4" s="58" t="n">
        <f aca="false">MIN(4,INT((7)/12))</f>
        <v>0</v>
      </c>
      <c r="J4" s="58" t="n">
        <f aca="false">MIN(4,INT((8)/12))</f>
        <v>0</v>
      </c>
      <c r="K4" s="58" t="n">
        <f aca="false">MIN(4,INT((9)/12))</f>
        <v>0</v>
      </c>
      <c r="L4" s="58" t="n">
        <f aca="false">MIN(4,INT((10)/12))</f>
        <v>0</v>
      </c>
      <c r="M4" s="58" t="n">
        <f aca="false">MIN(4,INT((11)/12))</f>
        <v>0</v>
      </c>
      <c r="N4" s="58" t="n">
        <f aca="false">MIN(4,INT((12)/12))</f>
        <v>1</v>
      </c>
      <c r="O4" s="58" t="n">
        <f aca="false">MIN(4,INT((13)/12))</f>
        <v>1</v>
      </c>
      <c r="P4" s="58" t="n">
        <f aca="false">MIN(4,INT((14)/12))</f>
        <v>1</v>
      </c>
      <c r="Q4" s="58" t="n">
        <f aca="false">MIN(4,INT((15)/12))</f>
        <v>1</v>
      </c>
      <c r="R4" s="58" t="n">
        <f aca="false">MIN(4,INT((16)/12))</f>
        <v>1</v>
      </c>
      <c r="S4" s="58" t="n">
        <f aca="false">MIN(4,INT((17)/12))</f>
        <v>1</v>
      </c>
      <c r="T4" s="58" t="n">
        <f aca="false">MIN(4,INT((18)/12))</f>
        <v>1</v>
      </c>
      <c r="U4" s="58" t="n">
        <f aca="false">MIN(4,INT((19)/12))</f>
        <v>1</v>
      </c>
      <c r="V4" s="58" t="n">
        <f aca="false">MIN(4,INT((20)/12))</f>
        <v>1</v>
      </c>
      <c r="W4" s="58" t="n">
        <f aca="false">MIN(4,INT((21)/12))</f>
        <v>1</v>
      </c>
      <c r="X4" s="58" t="n">
        <f aca="false">MIN(4,INT((22)/12))</f>
        <v>1</v>
      </c>
      <c r="Y4" s="58" t="n">
        <f aca="false">MIN(4,INT((23)/12))</f>
        <v>1</v>
      </c>
      <c r="Z4" s="58" t="n">
        <f aca="false">MIN(4,INT((24)/12))</f>
        <v>2</v>
      </c>
      <c r="AA4" s="58" t="n">
        <f aca="false">MIN(4,INT((25)/12))</f>
        <v>2</v>
      </c>
      <c r="AB4" s="58" t="n">
        <f aca="false">MIN(4,INT((26)/12))</f>
        <v>2</v>
      </c>
      <c r="AC4" s="58" t="n">
        <f aca="false">MIN(4,INT((27)/12))</f>
        <v>2</v>
      </c>
      <c r="AD4" s="58" t="n">
        <f aca="false">MIN(4,INT((28)/12))</f>
        <v>2</v>
      </c>
      <c r="AE4" s="58" t="n">
        <f aca="false">MIN(4,INT((29)/12))</f>
        <v>2</v>
      </c>
      <c r="AF4" s="58" t="n">
        <f aca="false">MIN(4,INT((30)/12))</f>
        <v>2</v>
      </c>
      <c r="AG4" s="58" t="n">
        <f aca="false">MIN(4,INT((31)/12))</f>
        <v>2</v>
      </c>
      <c r="AH4" s="58" t="n">
        <f aca="false">MIN(4,INT((32)/12))</f>
        <v>2</v>
      </c>
      <c r="AI4" s="58" t="n">
        <f aca="false">MIN(4,INT((33)/12))</f>
        <v>2</v>
      </c>
      <c r="AJ4" s="58" t="n">
        <f aca="false">MIN(4,INT((34)/12))</f>
        <v>2</v>
      </c>
      <c r="AK4" s="58" t="n">
        <f aca="false">MIN(4,INT((35)/12))</f>
        <v>2</v>
      </c>
      <c r="AL4" s="58" t="n">
        <f aca="false">MIN(4,INT((36)/12))</f>
        <v>3</v>
      </c>
      <c r="AM4" s="58" t="n">
        <f aca="false">MIN(4,INT((37)/12))</f>
        <v>3</v>
      </c>
      <c r="AN4" s="58" t="n">
        <f aca="false">MIN(4,INT((38)/12))</f>
        <v>3</v>
      </c>
      <c r="AO4" s="58" t="n">
        <f aca="false">MIN(4,INT((39)/12))</f>
        <v>3</v>
      </c>
      <c r="AP4" s="58" t="n">
        <f aca="false">MIN(4,INT((40)/12))</f>
        <v>3</v>
      </c>
      <c r="AQ4" s="58" t="n">
        <f aca="false">MIN(4,INT((41)/12))</f>
        <v>3</v>
      </c>
      <c r="AR4" s="58" t="n">
        <f aca="false">MIN(4,INT((42)/12))</f>
        <v>3</v>
      </c>
      <c r="AS4" s="58" t="n">
        <f aca="false">MIN(4,INT((43)/12))</f>
        <v>3</v>
      </c>
      <c r="AT4" s="58" t="n">
        <f aca="false">MIN(4,INT((44)/12))</f>
        <v>3</v>
      </c>
      <c r="AU4" s="58" t="n">
        <f aca="false">MIN(4,INT((45)/12))</f>
        <v>3</v>
      </c>
      <c r="AV4" s="58" t="n">
        <f aca="false">MIN(4,INT((46)/12))</f>
        <v>3</v>
      </c>
      <c r="AW4" s="58" t="n">
        <f aca="false">MIN(4,INT((47)/12))</f>
        <v>3</v>
      </c>
      <c r="AX4" s="58" t="n">
        <f aca="false">MIN(4,INT((48)/12))</f>
        <v>4</v>
      </c>
      <c r="AY4" s="58" t="n">
        <f aca="false">MIN(4,INT((49)/12))</f>
        <v>4</v>
      </c>
      <c r="AZ4" s="58" t="n">
        <f aca="false">MIN(4,INT((50)/12))</f>
        <v>4</v>
      </c>
      <c r="BA4" s="58" t="n">
        <f aca="false">MIN(4,INT((51)/12))</f>
        <v>4</v>
      </c>
      <c r="BB4" s="58" t="n">
        <f aca="false">MIN(4,INT((52)/12))</f>
        <v>4</v>
      </c>
      <c r="BC4" s="58" t="n">
        <f aca="false">MIN(4,INT((53)/12))</f>
        <v>4</v>
      </c>
      <c r="BD4" s="58" t="n">
        <f aca="false">MIN(4,INT((54)/12))</f>
        <v>4</v>
      </c>
      <c r="BE4" s="58" t="n">
        <f aca="false">MIN(4,INT((55)/12))</f>
        <v>4</v>
      </c>
      <c r="BF4" s="58" t="n">
        <f aca="false">MIN(4,INT((56)/12))</f>
        <v>4</v>
      </c>
      <c r="BG4" s="58" t="n">
        <f aca="false">MIN(4,INT((57)/12))</f>
        <v>4</v>
      </c>
      <c r="BH4" s="58" t="n">
        <f aca="false">MIN(4,INT((58)/12))</f>
        <v>4</v>
      </c>
      <c r="BI4" s="58" t="n">
        <f aca="false">MIN(4,INT((59)/12))</f>
        <v>4</v>
      </c>
    </row>
    <row r="5" customFormat="false" ht="15" hidden="false" customHeight="true" outlineLevel="0" collapsed="false">
      <c r="A5" s="6" t="s">
        <v>387</v>
      </c>
      <c r="B5" s="59" t="n">
        <f aca="false">(MOD(0,12)+1)/12</f>
        <v>0.0833333333333333</v>
      </c>
      <c r="C5" s="59" t="n">
        <f aca="false">(MOD(1,12)+1)/12</f>
        <v>0.166666666666667</v>
      </c>
      <c r="D5" s="59" t="n">
        <f aca="false">(MOD(2,12)+1)/12</f>
        <v>0.25</v>
      </c>
      <c r="E5" s="59" t="n">
        <f aca="false">(MOD(3,12)+1)/12</f>
        <v>0.333333333333333</v>
      </c>
      <c r="F5" s="59" t="n">
        <f aca="false">(MOD(4,12)+1)/12</f>
        <v>0.416666666666667</v>
      </c>
      <c r="G5" s="59" t="n">
        <f aca="false">(MOD(5,12)+1)/12</f>
        <v>0.5</v>
      </c>
      <c r="H5" s="59" t="n">
        <f aca="false">(MOD(6,12)+1)/12</f>
        <v>0.583333333333333</v>
      </c>
      <c r="I5" s="59" t="n">
        <f aca="false">(MOD(7,12)+1)/12</f>
        <v>0.666666666666667</v>
      </c>
      <c r="J5" s="59" t="n">
        <f aca="false">(MOD(8,12)+1)/12</f>
        <v>0.75</v>
      </c>
      <c r="K5" s="59" t="n">
        <f aca="false">(MOD(9,12)+1)/12</f>
        <v>0.833333333333333</v>
      </c>
      <c r="L5" s="59" t="n">
        <f aca="false">(MOD(10,12)+1)/12</f>
        <v>0.916666666666667</v>
      </c>
      <c r="M5" s="59" t="n">
        <f aca="false">(MOD(11,12)+1)/12</f>
        <v>1</v>
      </c>
      <c r="N5" s="59" t="n">
        <f aca="false">(MOD(12,12)+1)/12</f>
        <v>0.0833333333333333</v>
      </c>
      <c r="O5" s="59" t="n">
        <f aca="false">(MOD(13,12)+1)/12</f>
        <v>0.166666666666667</v>
      </c>
      <c r="P5" s="59" t="n">
        <f aca="false">(MOD(14,12)+1)/12</f>
        <v>0.25</v>
      </c>
      <c r="Q5" s="59" t="n">
        <f aca="false">(MOD(15,12)+1)/12</f>
        <v>0.333333333333333</v>
      </c>
      <c r="R5" s="59" t="n">
        <f aca="false">(MOD(16,12)+1)/12</f>
        <v>0.416666666666667</v>
      </c>
      <c r="S5" s="59" t="n">
        <f aca="false">(MOD(17,12)+1)/12</f>
        <v>0.5</v>
      </c>
      <c r="T5" s="59" t="n">
        <f aca="false">(MOD(18,12)+1)/12</f>
        <v>0.583333333333333</v>
      </c>
      <c r="U5" s="59" t="n">
        <f aca="false">(MOD(19,12)+1)/12</f>
        <v>0.666666666666667</v>
      </c>
      <c r="V5" s="59" t="n">
        <f aca="false">(MOD(20,12)+1)/12</f>
        <v>0.75</v>
      </c>
      <c r="W5" s="59" t="n">
        <f aca="false">(MOD(21,12)+1)/12</f>
        <v>0.833333333333333</v>
      </c>
      <c r="X5" s="59" t="n">
        <f aca="false">(MOD(22,12)+1)/12</f>
        <v>0.916666666666667</v>
      </c>
      <c r="Y5" s="59" t="n">
        <f aca="false">(MOD(23,12)+1)/12</f>
        <v>1</v>
      </c>
      <c r="Z5" s="59" t="n">
        <f aca="false">(MOD(24,12)+1)/12</f>
        <v>0.0833333333333333</v>
      </c>
      <c r="AA5" s="59" t="n">
        <f aca="false">(MOD(25,12)+1)/12</f>
        <v>0.166666666666667</v>
      </c>
      <c r="AB5" s="59" t="n">
        <f aca="false">(MOD(26,12)+1)/12</f>
        <v>0.25</v>
      </c>
      <c r="AC5" s="59" t="n">
        <f aca="false">(MOD(27,12)+1)/12</f>
        <v>0.333333333333333</v>
      </c>
      <c r="AD5" s="59" t="n">
        <f aca="false">(MOD(28,12)+1)/12</f>
        <v>0.416666666666667</v>
      </c>
      <c r="AE5" s="59" t="n">
        <f aca="false">(MOD(29,12)+1)/12</f>
        <v>0.5</v>
      </c>
      <c r="AF5" s="59" t="n">
        <f aca="false">(MOD(30,12)+1)/12</f>
        <v>0.583333333333333</v>
      </c>
      <c r="AG5" s="59" t="n">
        <f aca="false">(MOD(31,12)+1)/12</f>
        <v>0.666666666666667</v>
      </c>
      <c r="AH5" s="59" t="n">
        <f aca="false">(MOD(32,12)+1)/12</f>
        <v>0.75</v>
      </c>
      <c r="AI5" s="59" t="n">
        <f aca="false">(MOD(33,12)+1)/12</f>
        <v>0.833333333333333</v>
      </c>
      <c r="AJ5" s="59" t="n">
        <f aca="false">(MOD(34,12)+1)/12</f>
        <v>0.916666666666667</v>
      </c>
      <c r="AK5" s="59" t="n">
        <f aca="false">(MOD(35,12)+1)/12</f>
        <v>1</v>
      </c>
      <c r="AL5" s="59" t="n">
        <f aca="false">(MOD(36,12)+1)/12</f>
        <v>0.0833333333333333</v>
      </c>
      <c r="AM5" s="59" t="n">
        <f aca="false">(MOD(37,12)+1)/12</f>
        <v>0.166666666666667</v>
      </c>
      <c r="AN5" s="59" t="n">
        <f aca="false">(MOD(38,12)+1)/12</f>
        <v>0.25</v>
      </c>
      <c r="AO5" s="59" t="n">
        <f aca="false">(MOD(39,12)+1)/12</f>
        <v>0.333333333333333</v>
      </c>
      <c r="AP5" s="59" t="n">
        <f aca="false">(MOD(40,12)+1)/12</f>
        <v>0.416666666666667</v>
      </c>
      <c r="AQ5" s="59" t="n">
        <f aca="false">(MOD(41,12)+1)/12</f>
        <v>0.5</v>
      </c>
      <c r="AR5" s="59" t="n">
        <f aca="false">(MOD(42,12)+1)/12</f>
        <v>0.583333333333333</v>
      </c>
      <c r="AS5" s="59" t="n">
        <f aca="false">(MOD(43,12)+1)/12</f>
        <v>0.666666666666667</v>
      </c>
      <c r="AT5" s="59" t="n">
        <f aca="false">(MOD(44,12)+1)/12</f>
        <v>0.75</v>
      </c>
      <c r="AU5" s="59" t="n">
        <f aca="false">(MOD(45,12)+1)/12</f>
        <v>0.833333333333333</v>
      </c>
      <c r="AV5" s="59" t="n">
        <f aca="false">(MOD(46,12)+1)/12</f>
        <v>0.916666666666667</v>
      </c>
      <c r="AW5" s="59" t="n">
        <f aca="false">(MOD(47,12)+1)/12</f>
        <v>1</v>
      </c>
      <c r="AX5" s="59" t="n">
        <f aca="false">(MOD(48,12)+1)/12</f>
        <v>0.0833333333333333</v>
      </c>
      <c r="AY5" s="59" t="n">
        <f aca="false">(MOD(49,12)+1)/12</f>
        <v>0.166666666666667</v>
      </c>
      <c r="AZ5" s="59" t="n">
        <f aca="false">(MOD(50,12)+1)/12</f>
        <v>0.25</v>
      </c>
      <c r="BA5" s="59" t="n">
        <f aca="false">(MOD(51,12)+1)/12</f>
        <v>0.333333333333333</v>
      </c>
      <c r="BB5" s="59" t="n">
        <f aca="false">(MOD(52,12)+1)/12</f>
        <v>0.416666666666667</v>
      </c>
      <c r="BC5" s="59" t="n">
        <f aca="false">(MOD(53,12)+1)/12</f>
        <v>0.5</v>
      </c>
      <c r="BD5" s="59" t="n">
        <f aca="false">(MOD(54,12)+1)/12</f>
        <v>0.583333333333333</v>
      </c>
      <c r="BE5" s="59" t="n">
        <f aca="false">(MOD(55,12)+1)/12</f>
        <v>0.666666666666667</v>
      </c>
      <c r="BF5" s="59" t="n">
        <f aca="false">(MOD(56,12)+1)/12</f>
        <v>0.75</v>
      </c>
      <c r="BG5" s="59" t="n">
        <f aca="false">(MOD(57,12)+1)/12</f>
        <v>0.833333333333333</v>
      </c>
      <c r="BH5" s="59" t="n">
        <f aca="false">(MOD(58,12)+1)/12</f>
        <v>0.916666666666667</v>
      </c>
      <c r="BI5" s="59" t="n">
        <f aca="false">(MOD(59,12)+1)/12</f>
        <v>1</v>
      </c>
    </row>
    <row r="7" customFormat="false" ht="15" hidden="false" customHeight="true" outlineLevel="0" collapsed="false">
      <c r="A7" s="7" t="s">
        <v>388</v>
      </c>
      <c r="B7" s="8"/>
      <c r="C7" s="8"/>
      <c r="D7" s="8"/>
      <c r="E7" s="8"/>
      <c r="F7" s="8"/>
      <c r="G7" s="8"/>
    </row>
    <row r="8" customFormat="false" ht="15" hidden="false" customHeight="true" outlineLevel="0" collapsed="false">
      <c r="A8" s="11" t="s">
        <v>389</v>
      </c>
      <c r="B8" s="60" t="n">
        <f aca="false">INDEX(INPUT!$B$24:$F$24,1,B$4+1)/12</f>
        <v>10000</v>
      </c>
      <c r="C8" s="60" t="n">
        <f aca="false">INDEX(INPUT!$B$24:$F$24,1,C$4+1)/12</f>
        <v>10000</v>
      </c>
      <c r="D8" s="60" t="n">
        <f aca="false">INDEX(INPUT!$B$24:$F$24,1,D$4+1)/12</f>
        <v>10000</v>
      </c>
      <c r="E8" s="60" t="n">
        <f aca="false">INDEX(INPUT!$B$24:$F$24,1,E$4+1)/12</f>
        <v>10000</v>
      </c>
      <c r="F8" s="60" t="n">
        <f aca="false">INDEX(INPUT!$B$24:$F$24,1,F$4+1)/12</f>
        <v>10000</v>
      </c>
      <c r="G8" s="60" t="n">
        <f aca="false">INDEX(INPUT!$B$24:$F$24,1,G$4+1)/12</f>
        <v>10000</v>
      </c>
      <c r="H8" s="60" t="n">
        <f aca="false">INDEX(INPUT!$B$24:$F$24,1,H$4+1)/12</f>
        <v>10000</v>
      </c>
      <c r="I8" s="60" t="n">
        <f aca="false">INDEX(INPUT!$B$24:$F$24,1,I$4+1)/12</f>
        <v>10000</v>
      </c>
      <c r="J8" s="60" t="n">
        <f aca="false">INDEX(INPUT!$B$24:$F$24,1,J$4+1)/12</f>
        <v>10000</v>
      </c>
      <c r="K8" s="60" t="n">
        <f aca="false">INDEX(INPUT!$B$24:$F$24,1,K$4+1)/12</f>
        <v>10000</v>
      </c>
      <c r="L8" s="60" t="n">
        <f aca="false">INDEX(INPUT!$B$24:$F$24,1,L$4+1)/12</f>
        <v>10000</v>
      </c>
      <c r="M8" s="60" t="n">
        <f aca="false">INDEX(INPUT!$B$24:$F$24,1,M$4+1)/12</f>
        <v>10000</v>
      </c>
      <c r="N8" s="60" t="n">
        <f aca="false">INDEX(INPUT!$B$24:$F$24,1,N$4+1)/12</f>
        <v>25000</v>
      </c>
      <c r="O8" s="60" t="n">
        <f aca="false">INDEX(INPUT!$B$24:$F$24,1,O$4+1)/12</f>
        <v>25000</v>
      </c>
      <c r="P8" s="60" t="n">
        <f aca="false">INDEX(INPUT!$B$24:$F$24,1,P$4+1)/12</f>
        <v>25000</v>
      </c>
      <c r="Q8" s="60" t="n">
        <f aca="false">INDEX(INPUT!$B$24:$F$24,1,Q$4+1)/12</f>
        <v>25000</v>
      </c>
      <c r="R8" s="60" t="n">
        <f aca="false">INDEX(INPUT!$B$24:$F$24,1,R$4+1)/12</f>
        <v>25000</v>
      </c>
      <c r="S8" s="60" t="n">
        <f aca="false">INDEX(INPUT!$B$24:$F$24,1,S$4+1)/12</f>
        <v>25000</v>
      </c>
      <c r="T8" s="60" t="n">
        <f aca="false">INDEX(INPUT!$B$24:$F$24,1,T$4+1)/12</f>
        <v>25000</v>
      </c>
      <c r="U8" s="60" t="n">
        <f aca="false">INDEX(INPUT!$B$24:$F$24,1,U$4+1)/12</f>
        <v>25000</v>
      </c>
      <c r="V8" s="60" t="n">
        <f aca="false">INDEX(INPUT!$B$24:$F$24,1,V$4+1)/12</f>
        <v>25000</v>
      </c>
      <c r="W8" s="60" t="n">
        <f aca="false">INDEX(INPUT!$B$24:$F$24,1,W$4+1)/12</f>
        <v>25000</v>
      </c>
      <c r="X8" s="60" t="n">
        <f aca="false">INDEX(INPUT!$B$24:$F$24,1,X$4+1)/12</f>
        <v>25000</v>
      </c>
      <c r="Y8" s="60" t="n">
        <f aca="false">INDEX(INPUT!$B$24:$F$24,1,Y$4+1)/12</f>
        <v>25000</v>
      </c>
      <c r="Z8" s="60" t="n">
        <f aca="false">INDEX(INPUT!$B$24:$F$24,1,Z$4+1)/12</f>
        <v>41666.6666666667</v>
      </c>
      <c r="AA8" s="60" t="n">
        <f aca="false">INDEX(INPUT!$B$24:$F$24,1,AA$4+1)/12</f>
        <v>41666.6666666667</v>
      </c>
      <c r="AB8" s="60" t="n">
        <f aca="false">INDEX(INPUT!$B$24:$F$24,1,AB$4+1)/12</f>
        <v>41666.6666666667</v>
      </c>
      <c r="AC8" s="60" t="n">
        <f aca="false">INDEX(INPUT!$B$24:$F$24,1,AC$4+1)/12</f>
        <v>41666.6666666667</v>
      </c>
      <c r="AD8" s="60" t="n">
        <f aca="false">INDEX(INPUT!$B$24:$F$24,1,AD$4+1)/12</f>
        <v>41666.6666666667</v>
      </c>
      <c r="AE8" s="60" t="n">
        <f aca="false">INDEX(INPUT!$B$24:$F$24,1,AE$4+1)/12</f>
        <v>41666.6666666667</v>
      </c>
      <c r="AF8" s="60" t="n">
        <f aca="false">INDEX(INPUT!$B$24:$F$24,1,AF$4+1)/12</f>
        <v>41666.6666666667</v>
      </c>
      <c r="AG8" s="60" t="n">
        <f aca="false">INDEX(INPUT!$B$24:$F$24,1,AG$4+1)/12</f>
        <v>41666.6666666667</v>
      </c>
      <c r="AH8" s="60" t="n">
        <f aca="false">INDEX(INPUT!$B$24:$F$24,1,AH$4+1)/12</f>
        <v>41666.6666666667</v>
      </c>
      <c r="AI8" s="60" t="n">
        <f aca="false">INDEX(INPUT!$B$24:$F$24,1,AI$4+1)/12</f>
        <v>41666.6666666667</v>
      </c>
      <c r="AJ8" s="60" t="n">
        <f aca="false">INDEX(INPUT!$B$24:$F$24,1,AJ$4+1)/12</f>
        <v>41666.6666666667</v>
      </c>
      <c r="AK8" s="60" t="n">
        <f aca="false">INDEX(INPUT!$B$24:$F$24,1,AK$4+1)/12</f>
        <v>41666.6666666667</v>
      </c>
      <c r="AL8" s="60" t="n">
        <f aca="false">INDEX(INPUT!$B$24:$F$24,1,AL$4+1)/12</f>
        <v>66666.6666666667</v>
      </c>
      <c r="AM8" s="60" t="n">
        <f aca="false">INDEX(INPUT!$B$24:$F$24,1,AM$4+1)/12</f>
        <v>66666.6666666667</v>
      </c>
      <c r="AN8" s="60" t="n">
        <f aca="false">INDEX(INPUT!$B$24:$F$24,1,AN$4+1)/12</f>
        <v>66666.6666666667</v>
      </c>
      <c r="AO8" s="60" t="n">
        <f aca="false">INDEX(INPUT!$B$24:$F$24,1,AO$4+1)/12</f>
        <v>66666.6666666667</v>
      </c>
      <c r="AP8" s="60" t="n">
        <f aca="false">INDEX(INPUT!$B$24:$F$24,1,AP$4+1)/12</f>
        <v>66666.6666666667</v>
      </c>
      <c r="AQ8" s="60" t="n">
        <f aca="false">INDEX(INPUT!$B$24:$F$24,1,AQ$4+1)/12</f>
        <v>66666.6666666667</v>
      </c>
      <c r="AR8" s="60" t="n">
        <f aca="false">INDEX(INPUT!$B$24:$F$24,1,AR$4+1)/12</f>
        <v>66666.6666666667</v>
      </c>
      <c r="AS8" s="60" t="n">
        <f aca="false">INDEX(INPUT!$B$24:$F$24,1,AS$4+1)/12</f>
        <v>66666.6666666667</v>
      </c>
      <c r="AT8" s="60" t="n">
        <f aca="false">INDEX(INPUT!$B$24:$F$24,1,AT$4+1)/12</f>
        <v>66666.6666666667</v>
      </c>
      <c r="AU8" s="60" t="n">
        <f aca="false">INDEX(INPUT!$B$24:$F$24,1,AU$4+1)/12</f>
        <v>66666.6666666667</v>
      </c>
      <c r="AV8" s="60" t="n">
        <f aca="false">INDEX(INPUT!$B$24:$F$24,1,AV$4+1)/12</f>
        <v>66666.6666666667</v>
      </c>
      <c r="AW8" s="60" t="n">
        <f aca="false">INDEX(INPUT!$B$24:$F$24,1,AW$4+1)/12</f>
        <v>66666.6666666667</v>
      </c>
      <c r="AX8" s="60" t="n">
        <f aca="false">INDEX(INPUT!$B$24:$F$24,1,AX$4+1)/12</f>
        <v>91666.6666666667</v>
      </c>
      <c r="AY8" s="60" t="n">
        <f aca="false">INDEX(INPUT!$B$24:$F$24,1,AY$4+1)/12</f>
        <v>91666.6666666667</v>
      </c>
      <c r="AZ8" s="60" t="n">
        <f aca="false">INDEX(INPUT!$B$24:$F$24,1,AZ$4+1)/12</f>
        <v>91666.6666666667</v>
      </c>
      <c r="BA8" s="60" t="n">
        <f aca="false">INDEX(INPUT!$B$24:$F$24,1,BA$4+1)/12</f>
        <v>91666.6666666667</v>
      </c>
      <c r="BB8" s="60" t="n">
        <f aca="false">INDEX(INPUT!$B$24:$F$24,1,BB$4+1)/12</f>
        <v>91666.6666666667</v>
      </c>
      <c r="BC8" s="60" t="n">
        <f aca="false">INDEX(INPUT!$B$24:$F$24,1,BC$4+1)/12</f>
        <v>91666.6666666667</v>
      </c>
      <c r="BD8" s="60" t="n">
        <f aca="false">INDEX(INPUT!$B$24:$F$24,1,BD$4+1)/12</f>
        <v>91666.6666666667</v>
      </c>
      <c r="BE8" s="60" t="n">
        <f aca="false">INDEX(INPUT!$B$24:$F$24,1,BE$4+1)/12</f>
        <v>91666.6666666667</v>
      </c>
      <c r="BF8" s="60" t="n">
        <f aca="false">INDEX(INPUT!$B$24:$F$24,1,BF$4+1)/12</f>
        <v>91666.6666666667</v>
      </c>
      <c r="BG8" s="60" t="n">
        <f aca="false">INDEX(INPUT!$B$24:$F$24,1,BG$4+1)/12</f>
        <v>91666.6666666667</v>
      </c>
      <c r="BH8" s="60" t="n">
        <f aca="false">INDEX(INPUT!$B$24:$F$24,1,BH$4+1)/12</f>
        <v>91666.6666666667</v>
      </c>
      <c r="BI8" s="60" t="n">
        <f aca="false">INDEX(INPUT!$B$24:$F$24,1,BI$4+1)/12</f>
        <v>91666.6666666667</v>
      </c>
    </row>
    <row r="9" customFormat="false" ht="15" hidden="false" customHeight="true" outlineLevel="0" collapsed="false">
      <c r="A9" s="11" t="s">
        <v>390</v>
      </c>
      <c r="B9" s="61" t="n">
        <f aca="false">INDEX(INPUT!$B$82:$F$82,1,B$4+1)</f>
        <v>0.35</v>
      </c>
      <c r="C9" s="61" t="n">
        <f aca="false">INDEX(INPUT!$B$82:$F$82,1,C$4+1)</f>
        <v>0.35</v>
      </c>
      <c r="D9" s="61" t="n">
        <f aca="false">INDEX(INPUT!$B$82:$F$82,1,D$4+1)</f>
        <v>0.35</v>
      </c>
      <c r="E9" s="61" t="n">
        <f aca="false">INDEX(INPUT!$B$82:$F$82,1,E$4+1)</f>
        <v>0.35</v>
      </c>
      <c r="F9" s="61" t="n">
        <f aca="false">INDEX(INPUT!$B$82:$F$82,1,F$4+1)</f>
        <v>0.35</v>
      </c>
      <c r="G9" s="61" t="n">
        <f aca="false">INDEX(INPUT!$B$82:$F$82,1,G$4+1)</f>
        <v>0.35</v>
      </c>
      <c r="H9" s="61" t="n">
        <f aca="false">INDEX(INPUT!$B$82:$F$82,1,H$4+1)</f>
        <v>0.35</v>
      </c>
      <c r="I9" s="61" t="n">
        <f aca="false">INDEX(INPUT!$B$82:$F$82,1,I$4+1)</f>
        <v>0.35</v>
      </c>
      <c r="J9" s="61" t="n">
        <f aca="false">INDEX(INPUT!$B$82:$F$82,1,J$4+1)</f>
        <v>0.35</v>
      </c>
      <c r="K9" s="61" t="n">
        <f aca="false">INDEX(INPUT!$B$82:$F$82,1,K$4+1)</f>
        <v>0.35</v>
      </c>
      <c r="L9" s="61" t="n">
        <f aca="false">INDEX(INPUT!$B$82:$F$82,1,L$4+1)</f>
        <v>0.35</v>
      </c>
      <c r="M9" s="61" t="n">
        <f aca="false">INDEX(INPUT!$B$82:$F$82,1,M$4+1)</f>
        <v>0.35</v>
      </c>
      <c r="N9" s="61" t="n">
        <f aca="false">INDEX(INPUT!$B$82:$F$82,1,N$4+1)</f>
        <v>0.35</v>
      </c>
      <c r="O9" s="61" t="n">
        <f aca="false">INDEX(INPUT!$B$82:$F$82,1,O$4+1)</f>
        <v>0.35</v>
      </c>
      <c r="P9" s="61" t="n">
        <f aca="false">INDEX(INPUT!$B$82:$F$82,1,P$4+1)</f>
        <v>0.35</v>
      </c>
      <c r="Q9" s="61" t="n">
        <f aca="false">INDEX(INPUT!$B$82:$F$82,1,Q$4+1)</f>
        <v>0.35</v>
      </c>
      <c r="R9" s="61" t="n">
        <f aca="false">INDEX(INPUT!$B$82:$F$82,1,R$4+1)</f>
        <v>0.35</v>
      </c>
      <c r="S9" s="61" t="n">
        <f aca="false">INDEX(INPUT!$B$82:$F$82,1,S$4+1)</f>
        <v>0.35</v>
      </c>
      <c r="T9" s="61" t="n">
        <f aca="false">INDEX(INPUT!$B$82:$F$82,1,T$4+1)</f>
        <v>0.35</v>
      </c>
      <c r="U9" s="61" t="n">
        <f aca="false">INDEX(INPUT!$B$82:$F$82,1,U$4+1)</f>
        <v>0.35</v>
      </c>
      <c r="V9" s="61" t="n">
        <f aca="false">INDEX(INPUT!$B$82:$F$82,1,V$4+1)</f>
        <v>0.35</v>
      </c>
      <c r="W9" s="61" t="n">
        <f aca="false">INDEX(INPUT!$B$82:$F$82,1,W$4+1)</f>
        <v>0.35</v>
      </c>
      <c r="X9" s="61" t="n">
        <f aca="false">INDEX(INPUT!$B$82:$F$82,1,X$4+1)</f>
        <v>0.35</v>
      </c>
      <c r="Y9" s="61" t="n">
        <f aca="false">INDEX(INPUT!$B$82:$F$82,1,Y$4+1)</f>
        <v>0.35</v>
      </c>
      <c r="Z9" s="61" t="n">
        <f aca="false">INDEX(INPUT!$B$82:$F$82,1,Z$4+1)</f>
        <v>0.35</v>
      </c>
      <c r="AA9" s="61" t="n">
        <f aca="false">INDEX(INPUT!$B$82:$F$82,1,AA$4+1)</f>
        <v>0.35</v>
      </c>
      <c r="AB9" s="61" t="n">
        <f aca="false">INDEX(INPUT!$B$82:$F$82,1,AB$4+1)</f>
        <v>0.35</v>
      </c>
      <c r="AC9" s="61" t="n">
        <f aca="false">INDEX(INPUT!$B$82:$F$82,1,AC$4+1)</f>
        <v>0.35</v>
      </c>
      <c r="AD9" s="61" t="n">
        <f aca="false">INDEX(INPUT!$B$82:$F$82,1,AD$4+1)</f>
        <v>0.35</v>
      </c>
      <c r="AE9" s="61" t="n">
        <f aca="false">INDEX(INPUT!$B$82:$F$82,1,AE$4+1)</f>
        <v>0.35</v>
      </c>
      <c r="AF9" s="61" t="n">
        <f aca="false">INDEX(INPUT!$B$82:$F$82,1,AF$4+1)</f>
        <v>0.35</v>
      </c>
      <c r="AG9" s="61" t="n">
        <f aca="false">INDEX(INPUT!$B$82:$F$82,1,AG$4+1)</f>
        <v>0.35</v>
      </c>
      <c r="AH9" s="61" t="n">
        <f aca="false">INDEX(INPUT!$B$82:$F$82,1,AH$4+1)</f>
        <v>0.35</v>
      </c>
      <c r="AI9" s="61" t="n">
        <f aca="false">INDEX(INPUT!$B$82:$F$82,1,AI$4+1)</f>
        <v>0.35</v>
      </c>
      <c r="AJ9" s="61" t="n">
        <f aca="false">INDEX(INPUT!$B$82:$F$82,1,AJ$4+1)</f>
        <v>0.35</v>
      </c>
      <c r="AK9" s="61" t="n">
        <f aca="false">INDEX(INPUT!$B$82:$F$82,1,AK$4+1)</f>
        <v>0.35</v>
      </c>
      <c r="AL9" s="61" t="n">
        <f aca="false">INDEX(INPUT!$B$82:$F$82,1,AL$4+1)</f>
        <v>0.35</v>
      </c>
      <c r="AM9" s="61" t="n">
        <f aca="false">INDEX(INPUT!$B$82:$F$82,1,AM$4+1)</f>
        <v>0.35</v>
      </c>
      <c r="AN9" s="61" t="n">
        <f aca="false">INDEX(INPUT!$B$82:$F$82,1,AN$4+1)</f>
        <v>0.35</v>
      </c>
      <c r="AO9" s="61" t="n">
        <f aca="false">INDEX(INPUT!$B$82:$F$82,1,AO$4+1)</f>
        <v>0.35</v>
      </c>
      <c r="AP9" s="61" t="n">
        <f aca="false">INDEX(INPUT!$B$82:$F$82,1,AP$4+1)</f>
        <v>0.35</v>
      </c>
      <c r="AQ9" s="61" t="n">
        <f aca="false">INDEX(INPUT!$B$82:$F$82,1,AQ$4+1)</f>
        <v>0.35</v>
      </c>
      <c r="AR9" s="61" t="n">
        <f aca="false">INDEX(INPUT!$B$82:$F$82,1,AR$4+1)</f>
        <v>0.35</v>
      </c>
      <c r="AS9" s="61" t="n">
        <f aca="false">INDEX(INPUT!$B$82:$F$82,1,AS$4+1)</f>
        <v>0.35</v>
      </c>
      <c r="AT9" s="61" t="n">
        <f aca="false">INDEX(INPUT!$B$82:$F$82,1,AT$4+1)</f>
        <v>0.35</v>
      </c>
      <c r="AU9" s="61" t="n">
        <f aca="false">INDEX(INPUT!$B$82:$F$82,1,AU$4+1)</f>
        <v>0.35</v>
      </c>
      <c r="AV9" s="61" t="n">
        <f aca="false">INDEX(INPUT!$B$82:$F$82,1,AV$4+1)</f>
        <v>0.35</v>
      </c>
      <c r="AW9" s="61" t="n">
        <f aca="false">INDEX(INPUT!$B$82:$F$82,1,AW$4+1)</f>
        <v>0.35</v>
      </c>
      <c r="AX9" s="61" t="n">
        <f aca="false">INDEX(INPUT!$B$82:$F$82,1,AX$4+1)</f>
        <v>0.35</v>
      </c>
      <c r="AY9" s="61" t="n">
        <f aca="false">INDEX(INPUT!$B$82:$F$82,1,AY$4+1)</f>
        <v>0.35</v>
      </c>
      <c r="AZ9" s="61" t="n">
        <f aca="false">INDEX(INPUT!$B$82:$F$82,1,AZ$4+1)</f>
        <v>0.35</v>
      </c>
      <c r="BA9" s="61" t="n">
        <f aca="false">INDEX(INPUT!$B$82:$F$82,1,BA$4+1)</f>
        <v>0.35</v>
      </c>
      <c r="BB9" s="61" t="n">
        <f aca="false">INDEX(INPUT!$B$82:$F$82,1,BB$4+1)</f>
        <v>0.35</v>
      </c>
      <c r="BC9" s="61" t="n">
        <f aca="false">INDEX(INPUT!$B$82:$F$82,1,BC$4+1)</f>
        <v>0.35</v>
      </c>
      <c r="BD9" s="61" t="n">
        <f aca="false">INDEX(INPUT!$B$82:$F$82,1,BD$4+1)</f>
        <v>0.35</v>
      </c>
      <c r="BE9" s="61" t="n">
        <f aca="false">INDEX(INPUT!$B$82:$F$82,1,BE$4+1)</f>
        <v>0.35</v>
      </c>
      <c r="BF9" s="61" t="n">
        <f aca="false">INDEX(INPUT!$B$82:$F$82,1,BF$4+1)</f>
        <v>0.35</v>
      </c>
      <c r="BG9" s="61" t="n">
        <f aca="false">INDEX(INPUT!$B$82:$F$82,1,BG$4+1)</f>
        <v>0.35</v>
      </c>
      <c r="BH9" s="61" t="n">
        <f aca="false">INDEX(INPUT!$B$82:$F$82,1,BH$4+1)</f>
        <v>0.35</v>
      </c>
      <c r="BI9" s="61" t="n">
        <f aca="false">INDEX(INPUT!$B$82:$F$82,1,BI$4+1)</f>
        <v>0.35</v>
      </c>
    </row>
    <row r="10" customFormat="false" ht="15" hidden="false" customHeight="true" outlineLevel="0" collapsed="false">
      <c r="A10" s="11" t="s">
        <v>391</v>
      </c>
      <c r="B10" s="61" t="n">
        <f aca="false">INDEX(INPUT!$B$87:$F$87,1,B$4+1)</f>
        <v>0.12</v>
      </c>
      <c r="C10" s="61" t="n">
        <f aca="false">INDEX(INPUT!$B$87:$F$87,1,C$4+1)</f>
        <v>0.12</v>
      </c>
      <c r="D10" s="61" t="n">
        <f aca="false">INDEX(INPUT!$B$87:$F$87,1,D$4+1)</f>
        <v>0.12</v>
      </c>
      <c r="E10" s="61" t="n">
        <f aca="false">INDEX(INPUT!$B$87:$F$87,1,E$4+1)</f>
        <v>0.12</v>
      </c>
      <c r="F10" s="61" t="n">
        <f aca="false">INDEX(INPUT!$B$87:$F$87,1,F$4+1)</f>
        <v>0.12</v>
      </c>
      <c r="G10" s="61" t="n">
        <f aca="false">INDEX(INPUT!$B$87:$F$87,1,G$4+1)</f>
        <v>0.12</v>
      </c>
      <c r="H10" s="61" t="n">
        <f aca="false">INDEX(INPUT!$B$87:$F$87,1,H$4+1)</f>
        <v>0.12</v>
      </c>
      <c r="I10" s="61" t="n">
        <f aca="false">INDEX(INPUT!$B$87:$F$87,1,I$4+1)</f>
        <v>0.12</v>
      </c>
      <c r="J10" s="61" t="n">
        <f aca="false">INDEX(INPUT!$B$87:$F$87,1,J$4+1)</f>
        <v>0.12</v>
      </c>
      <c r="K10" s="61" t="n">
        <f aca="false">INDEX(INPUT!$B$87:$F$87,1,K$4+1)</f>
        <v>0.12</v>
      </c>
      <c r="L10" s="61" t="n">
        <f aca="false">INDEX(INPUT!$B$87:$F$87,1,L$4+1)</f>
        <v>0.12</v>
      </c>
      <c r="M10" s="61" t="n">
        <f aca="false">INDEX(INPUT!$B$87:$F$87,1,M$4+1)</f>
        <v>0.12</v>
      </c>
      <c r="N10" s="61" t="n">
        <f aca="false">INDEX(INPUT!$B$87:$F$87,1,N$4+1)</f>
        <v>0.12</v>
      </c>
      <c r="O10" s="61" t="n">
        <f aca="false">INDEX(INPUT!$B$87:$F$87,1,O$4+1)</f>
        <v>0.12</v>
      </c>
      <c r="P10" s="61" t="n">
        <f aca="false">INDEX(INPUT!$B$87:$F$87,1,P$4+1)</f>
        <v>0.12</v>
      </c>
      <c r="Q10" s="61" t="n">
        <f aca="false">INDEX(INPUT!$B$87:$F$87,1,Q$4+1)</f>
        <v>0.12</v>
      </c>
      <c r="R10" s="61" t="n">
        <f aca="false">INDEX(INPUT!$B$87:$F$87,1,R$4+1)</f>
        <v>0.12</v>
      </c>
      <c r="S10" s="61" t="n">
        <f aca="false">INDEX(INPUT!$B$87:$F$87,1,S$4+1)</f>
        <v>0.12</v>
      </c>
      <c r="T10" s="61" t="n">
        <f aca="false">INDEX(INPUT!$B$87:$F$87,1,T$4+1)</f>
        <v>0.12</v>
      </c>
      <c r="U10" s="61" t="n">
        <f aca="false">INDEX(INPUT!$B$87:$F$87,1,U$4+1)</f>
        <v>0.12</v>
      </c>
      <c r="V10" s="61" t="n">
        <f aca="false">INDEX(INPUT!$B$87:$F$87,1,V$4+1)</f>
        <v>0.12</v>
      </c>
      <c r="W10" s="61" t="n">
        <f aca="false">INDEX(INPUT!$B$87:$F$87,1,W$4+1)</f>
        <v>0.12</v>
      </c>
      <c r="X10" s="61" t="n">
        <f aca="false">INDEX(INPUT!$B$87:$F$87,1,X$4+1)</f>
        <v>0.12</v>
      </c>
      <c r="Y10" s="61" t="n">
        <f aca="false">INDEX(INPUT!$B$87:$F$87,1,Y$4+1)</f>
        <v>0.12</v>
      </c>
      <c r="Z10" s="61" t="n">
        <f aca="false">INDEX(INPUT!$B$87:$F$87,1,Z$4+1)</f>
        <v>0.12</v>
      </c>
      <c r="AA10" s="61" t="n">
        <f aca="false">INDEX(INPUT!$B$87:$F$87,1,AA$4+1)</f>
        <v>0.12</v>
      </c>
      <c r="AB10" s="61" t="n">
        <f aca="false">INDEX(INPUT!$B$87:$F$87,1,AB$4+1)</f>
        <v>0.12</v>
      </c>
      <c r="AC10" s="61" t="n">
        <f aca="false">INDEX(INPUT!$B$87:$F$87,1,AC$4+1)</f>
        <v>0.12</v>
      </c>
      <c r="AD10" s="61" t="n">
        <f aca="false">INDEX(INPUT!$B$87:$F$87,1,AD$4+1)</f>
        <v>0.12</v>
      </c>
      <c r="AE10" s="61" t="n">
        <f aca="false">INDEX(INPUT!$B$87:$F$87,1,AE$4+1)</f>
        <v>0.12</v>
      </c>
      <c r="AF10" s="61" t="n">
        <f aca="false">INDEX(INPUT!$B$87:$F$87,1,AF$4+1)</f>
        <v>0.12</v>
      </c>
      <c r="AG10" s="61" t="n">
        <f aca="false">INDEX(INPUT!$B$87:$F$87,1,AG$4+1)</f>
        <v>0.12</v>
      </c>
      <c r="AH10" s="61" t="n">
        <f aca="false">INDEX(INPUT!$B$87:$F$87,1,AH$4+1)</f>
        <v>0.12</v>
      </c>
      <c r="AI10" s="61" t="n">
        <f aca="false">INDEX(INPUT!$B$87:$F$87,1,AI$4+1)</f>
        <v>0.12</v>
      </c>
      <c r="AJ10" s="61" t="n">
        <f aca="false">INDEX(INPUT!$B$87:$F$87,1,AJ$4+1)</f>
        <v>0.12</v>
      </c>
      <c r="AK10" s="61" t="n">
        <f aca="false">INDEX(INPUT!$B$87:$F$87,1,AK$4+1)</f>
        <v>0.12</v>
      </c>
      <c r="AL10" s="61" t="n">
        <f aca="false">INDEX(INPUT!$B$87:$F$87,1,AL$4+1)</f>
        <v>0.12</v>
      </c>
      <c r="AM10" s="61" t="n">
        <f aca="false">INDEX(INPUT!$B$87:$F$87,1,AM$4+1)</f>
        <v>0.12</v>
      </c>
      <c r="AN10" s="61" t="n">
        <f aca="false">INDEX(INPUT!$B$87:$F$87,1,AN$4+1)</f>
        <v>0.12</v>
      </c>
      <c r="AO10" s="61" t="n">
        <f aca="false">INDEX(INPUT!$B$87:$F$87,1,AO$4+1)</f>
        <v>0.12</v>
      </c>
      <c r="AP10" s="61" t="n">
        <f aca="false">INDEX(INPUT!$B$87:$F$87,1,AP$4+1)</f>
        <v>0.12</v>
      </c>
      <c r="AQ10" s="61" t="n">
        <f aca="false">INDEX(INPUT!$B$87:$F$87,1,AQ$4+1)</f>
        <v>0.12</v>
      </c>
      <c r="AR10" s="61" t="n">
        <f aca="false">INDEX(INPUT!$B$87:$F$87,1,AR$4+1)</f>
        <v>0.12</v>
      </c>
      <c r="AS10" s="61" t="n">
        <f aca="false">INDEX(INPUT!$B$87:$F$87,1,AS$4+1)</f>
        <v>0.12</v>
      </c>
      <c r="AT10" s="61" t="n">
        <f aca="false">INDEX(INPUT!$B$87:$F$87,1,AT$4+1)</f>
        <v>0.12</v>
      </c>
      <c r="AU10" s="61" t="n">
        <f aca="false">INDEX(INPUT!$B$87:$F$87,1,AU$4+1)</f>
        <v>0.12</v>
      </c>
      <c r="AV10" s="61" t="n">
        <f aca="false">INDEX(INPUT!$B$87:$F$87,1,AV$4+1)</f>
        <v>0.12</v>
      </c>
      <c r="AW10" s="61" t="n">
        <f aca="false">INDEX(INPUT!$B$87:$F$87,1,AW$4+1)</f>
        <v>0.12</v>
      </c>
      <c r="AX10" s="61" t="n">
        <f aca="false">INDEX(INPUT!$B$87:$F$87,1,AX$4+1)</f>
        <v>0.12</v>
      </c>
      <c r="AY10" s="61" t="n">
        <f aca="false">INDEX(INPUT!$B$87:$F$87,1,AY$4+1)</f>
        <v>0.12</v>
      </c>
      <c r="AZ10" s="61" t="n">
        <f aca="false">INDEX(INPUT!$B$87:$F$87,1,AZ$4+1)</f>
        <v>0.12</v>
      </c>
      <c r="BA10" s="61" t="n">
        <f aca="false">INDEX(INPUT!$B$87:$F$87,1,BA$4+1)</f>
        <v>0.12</v>
      </c>
      <c r="BB10" s="61" t="n">
        <f aca="false">INDEX(INPUT!$B$87:$F$87,1,BB$4+1)</f>
        <v>0.12</v>
      </c>
      <c r="BC10" s="61" t="n">
        <f aca="false">INDEX(INPUT!$B$87:$F$87,1,BC$4+1)</f>
        <v>0.12</v>
      </c>
      <c r="BD10" s="61" t="n">
        <f aca="false">INDEX(INPUT!$B$87:$F$87,1,BD$4+1)</f>
        <v>0.12</v>
      </c>
      <c r="BE10" s="61" t="n">
        <f aca="false">INDEX(INPUT!$B$87:$F$87,1,BE$4+1)</f>
        <v>0.12</v>
      </c>
      <c r="BF10" s="61" t="n">
        <f aca="false">INDEX(INPUT!$B$87:$F$87,1,BF$4+1)</f>
        <v>0.12</v>
      </c>
      <c r="BG10" s="61" t="n">
        <f aca="false">INDEX(INPUT!$B$87:$F$87,1,BG$4+1)</f>
        <v>0.12</v>
      </c>
      <c r="BH10" s="61" t="n">
        <f aca="false">INDEX(INPUT!$B$87:$F$87,1,BH$4+1)</f>
        <v>0.12</v>
      </c>
      <c r="BI10" s="61" t="n">
        <f aca="false">INDEX(INPUT!$B$87:$F$87,1,BI$4+1)</f>
        <v>0.12</v>
      </c>
    </row>
    <row r="11" customFormat="false" ht="15" hidden="false" customHeight="true" outlineLevel="0" collapsed="false">
      <c r="A11" s="11" t="s">
        <v>392</v>
      </c>
      <c r="B11" s="60" t="n">
        <f aca="false">INDEX(INPUT!$B$92:$F$92,1,B$4+1)</f>
        <v>100</v>
      </c>
      <c r="C11" s="60" t="n">
        <f aca="false">INDEX(INPUT!$B$92:$F$92,1,C$4+1)</f>
        <v>100</v>
      </c>
      <c r="D11" s="60" t="n">
        <f aca="false">INDEX(INPUT!$B$92:$F$92,1,D$4+1)</f>
        <v>100</v>
      </c>
      <c r="E11" s="60" t="n">
        <f aca="false">INDEX(INPUT!$B$92:$F$92,1,E$4+1)</f>
        <v>100</v>
      </c>
      <c r="F11" s="60" t="n">
        <f aca="false">INDEX(INPUT!$B$92:$F$92,1,F$4+1)</f>
        <v>100</v>
      </c>
      <c r="G11" s="60" t="n">
        <f aca="false">INDEX(INPUT!$B$92:$F$92,1,G$4+1)</f>
        <v>100</v>
      </c>
      <c r="H11" s="60" t="n">
        <f aca="false">INDEX(INPUT!$B$92:$F$92,1,H$4+1)</f>
        <v>100</v>
      </c>
      <c r="I11" s="60" t="n">
        <f aca="false">INDEX(INPUT!$B$92:$F$92,1,I$4+1)</f>
        <v>100</v>
      </c>
      <c r="J11" s="60" t="n">
        <f aca="false">INDEX(INPUT!$B$92:$F$92,1,J$4+1)</f>
        <v>100</v>
      </c>
      <c r="K11" s="60" t="n">
        <f aca="false">INDEX(INPUT!$B$92:$F$92,1,K$4+1)</f>
        <v>100</v>
      </c>
      <c r="L11" s="60" t="n">
        <f aca="false">INDEX(INPUT!$B$92:$F$92,1,L$4+1)</f>
        <v>100</v>
      </c>
      <c r="M11" s="60" t="n">
        <f aca="false">INDEX(INPUT!$B$92:$F$92,1,M$4+1)</f>
        <v>100</v>
      </c>
      <c r="N11" s="60" t="n">
        <f aca="false">INDEX(INPUT!$B$92:$F$92,1,N$4+1)</f>
        <v>100</v>
      </c>
      <c r="O11" s="60" t="n">
        <f aca="false">INDEX(INPUT!$B$92:$F$92,1,O$4+1)</f>
        <v>100</v>
      </c>
      <c r="P11" s="60" t="n">
        <f aca="false">INDEX(INPUT!$B$92:$F$92,1,P$4+1)</f>
        <v>100</v>
      </c>
      <c r="Q11" s="60" t="n">
        <f aca="false">INDEX(INPUT!$B$92:$F$92,1,Q$4+1)</f>
        <v>100</v>
      </c>
      <c r="R11" s="60" t="n">
        <f aca="false">INDEX(INPUT!$B$92:$F$92,1,R$4+1)</f>
        <v>100</v>
      </c>
      <c r="S11" s="60" t="n">
        <f aca="false">INDEX(INPUT!$B$92:$F$92,1,S$4+1)</f>
        <v>100</v>
      </c>
      <c r="T11" s="60" t="n">
        <f aca="false">INDEX(INPUT!$B$92:$F$92,1,T$4+1)</f>
        <v>100</v>
      </c>
      <c r="U11" s="60" t="n">
        <f aca="false">INDEX(INPUT!$B$92:$F$92,1,U$4+1)</f>
        <v>100</v>
      </c>
      <c r="V11" s="60" t="n">
        <f aca="false">INDEX(INPUT!$B$92:$F$92,1,V$4+1)</f>
        <v>100</v>
      </c>
      <c r="W11" s="60" t="n">
        <f aca="false">INDEX(INPUT!$B$92:$F$92,1,W$4+1)</f>
        <v>100</v>
      </c>
      <c r="X11" s="60" t="n">
        <f aca="false">INDEX(INPUT!$B$92:$F$92,1,X$4+1)</f>
        <v>100</v>
      </c>
      <c r="Y11" s="60" t="n">
        <f aca="false">INDEX(INPUT!$B$92:$F$92,1,Y$4+1)</f>
        <v>100</v>
      </c>
      <c r="Z11" s="60" t="n">
        <f aca="false">INDEX(INPUT!$B$92:$F$92,1,Z$4+1)</f>
        <v>100</v>
      </c>
      <c r="AA11" s="60" t="n">
        <f aca="false">INDEX(INPUT!$B$92:$F$92,1,AA$4+1)</f>
        <v>100</v>
      </c>
      <c r="AB11" s="60" t="n">
        <f aca="false">INDEX(INPUT!$B$92:$F$92,1,AB$4+1)</f>
        <v>100</v>
      </c>
      <c r="AC11" s="60" t="n">
        <f aca="false">INDEX(INPUT!$B$92:$F$92,1,AC$4+1)</f>
        <v>100</v>
      </c>
      <c r="AD11" s="60" t="n">
        <f aca="false">INDEX(INPUT!$B$92:$F$92,1,AD$4+1)</f>
        <v>100</v>
      </c>
      <c r="AE11" s="60" t="n">
        <f aca="false">INDEX(INPUT!$B$92:$F$92,1,AE$4+1)</f>
        <v>100</v>
      </c>
      <c r="AF11" s="60" t="n">
        <f aca="false">INDEX(INPUT!$B$92:$F$92,1,AF$4+1)</f>
        <v>100</v>
      </c>
      <c r="AG11" s="60" t="n">
        <f aca="false">INDEX(INPUT!$B$92:$F$92,1,AG$4+1)</f>
        <v>100</v>
      </c>
      <c r="AH11" s="60" t="n">
        <f aca="false">INDEX(INPUT!$B$92:$F$92,1,AH$4+1)</f>
        <v>100</v>
      </c>
      <c r="AI11" s="60" t="n">
        <f aca="false">INDEX(INPUT!$B$92:$F$92,1,AI$4+1)</f>
        <v>100</v>
      </c>
      <c r="AJ11" s="60" t="n">
        <f aca="false">INDEX(INPUT!$B$92:$F$92,1,AJ$4+1)</f>
        <v>100</v>
      </c>
      <c r="AK11" s="60" t="n">
        <f aca="false">INDEX(INPUT!$B$92:$F$92,1,AK$4+1)</f>
        <v>100</v>
      </c>
      <c r="AL11" s="60" t="n">
        <f aca="false">INDEX(INPUT!$B$92:$F$92,1,AL$4+1)</f>
        <v>100</v>
      </c>
      <c r="AM11" s="60" t="n">
        <f aca="false">INDEX(INPUT!$B$92:$F$92,1,AM$4+1)</f>
        <v>100</v>
      </c>
      <c r="AN11" s="60" t="n">
        <f aca="false">INDEX(INPUT!$B$92:$F$92,1,AN$4+1)</f>
        <v>100</v>
      </c>
      <c r="AO11" s="60" t="n">
        <f aca="false">INDEX(INPUT!$B$92:$F$92,1,AO$4+1)</f>
        <v>100</v>
      </c>
      <c r="AP11" s="60" t="n">
        <f aca="false">INDEX(INPUT!$B$92:$F$92,1,AP$4+1)</f>
        <v>100</v>
      </c>
      <c r="AQ11" s="60" t="n">
        <f aca="false">INDEX(INPUT!$B$92:$F$92,1,AQ$4+1)</f>
        <v>100</v>
      </c>
      <c r="AR11" s="60" t="n">
        <f aca="false">INDEX(INPUT!$B$92:$F$92,1,AR$4+1)</f>
        <v>100</v>
      </c>
      <c r="AS11" s="60" t="n">
        <f aca="false">INDEX(INPUT!$B$92:$F$92,1,AS$4+1)</f>
        <v>100</v>
      </c>
      <c r="AT11" s="60" t="n">
        <f aca="false">INDEX(INPUT!$B$92:$F$92,1,AT$4+1)</f>
        <v>100</v>
      </c>
      <c r="AU11" s="60" t="n">
        <f aca="false">INDEX(INPUT!$B$92:$F$92,1,AU$4+1)</f>
        <v>100</v>
      </c>
      <c r="AV11" s="60" t="n">
        <f aca="false">INDEX(INPUT!$B$92:$F$92,1,AV$4+1)</f>
        <v>100</v>
      </c>
      <c r="AW11" s="60" t="n">
        <f aca="false">INDEX(INPUT!$B$92:$F$92,1,AW$4+1)</f>
        <v>100</v>
      </c>
      <c r="AX11" s="60" t="n">
        <f aca="false">INDEX(INPUT!$B$92:$F$92,1,AX$4+1)</f>
        <v>100</v>
      </c>
      <c r="AY11" s="60" t="n">
        <f aca="false">INDEX(INPUT!$B$92:$F$92,1,AY$4+1)</f>
        <v>100</v>
      </c>
      <c r="AZ11" s="60" t="n">
        <f aca="false">INDEX(INPUT!$B$92:$F$92,1,AZ$4+1)</f>
        <v>100</v>
      </c>
      <c r="BA11" s="60" t="n">
        <f aca="false">INDEX(INPUT!$B$92:$F$92,1,BA$4+1)</f>
        <v>100</v>
      </c>
      <c r="BB11" s="60" t="n">
        <f aca="false">INDEX(INPUT!$B$92:$F$92,1,BB$4+1)</f>
        <v>100</v>
      </c>
      <c r="BC11" s="60" t="n">
        <f aca="false">INDEX(INPUT!$B$92:$F$92,1,BC$4+1)</f>
        <v>100</v>
      </c>
      <c r="BD11" s="60" t="n">
        <f aca="false">INDEX(INPUT!$B$92:$F$92,1,BD$4+1)</f>
        <v>100</v>
      </c>
      <c r="BE11" s="60" t="n">
        <f aca="false">INDEX(INPUT!$B$92:$F$92,1,BE$4+1)</f>
        <v>100</v>
      </c>
      <c r="BF11" s="60" t="n">
        <f aca="false">INDEX(INPUT!$B$92:$F$92,1,BF$4+1)</f>
        <v>100</v>
      </c>
      <c r="BG11" s="60" t="n">
        <f aca="false">INDEX(INPUT!$B$92:$F$92,1,BG$4+1)</f>
        <v>100</v>
      </c>
      <c r="BH11" s="60" t="n">
        <f aca="false">INDEX(INPUT!$B$92:$F$92,1,BH$4+1)</f>
        <v>100</v>
      </c>
      <c r="BI11" s="60" t="n">
        <f aca="false">INDEX(INPUT!$B$92:$F$92,1,BI$4+1)</f>
        <v>100</v>
      </c>
    </row>
    <row r="12" customFormat="false" ht="15" hidden="false" customHeight="true" outlineLevel="0" collapsed="false">
      <c r="A12" s="11" t="s">
        <v>393</v>
      </c>
      <c r="B12" s="61" t="n">
        <f aca="false">INDEX(INPUT!$B$23:$F$23,1,B$4+1)</f>
        <v>0.35</v>
      </c>
      <c r="C12" s="61" t="n">
        <f aca="false">INDEX(INPUT!$B$23:$F$23,1,C$4+1)</f>
        <v>0.35</v>
      </c>
      <c r="D12" s="61" t="n">
        <f aca="false">INDEX(INPUT!$B$23:$F$23,1,D$4+1)</f>
        <v>0.35</v>
      </c>
      <c r="E12" s="61" t="n">
        <f aca="false">INDEX(INPUT!$B$23:$F$23,1,E$4+1)</f>
        <v>0.35</v>
      </c>
      <c r="F12" s="61" t="n">
        <f aca="false">INDEX(INPUT!$B$23:$F$23,1,F$4+1)</f>
        <v>0.35</v>
      </c>
      <c r="G12" s="61" t="n">
        <f aca="false">INDEX(INPUT!$B$23:$F$23,1,G$4+1)</f>
        <v>0.35</v>
      </c>
      <c r="H12" s="61" t="n">
        <f aca="false">INDEX(INPUT!$B$23:$F$23,1,H$4+1)</f>
        <v>0.35</v>
      </c>
      <c r="I12" s="61" t="n">
        <f aca="false">INDEX(INPUT!$B$23:$F$23,1,I$4+1)</f>
        <v>0.35</v>
      </c>
      <c r="J12" s="61" t="n">
        <f aca="false">INDEX(INPUT!$B$23:$F$23,1,J$4+1)</f>
        <v>0.35</v>
      </c>
      <c r="K12" s="61" t="n">
        <f aca="false">INDEX(INPUT!$B$23:$F$23,1,K$4+1)</f>
        <v>0.35</v>
      </c>
      <c r="L12" s="61" t="n">
        <f aca="false">INDEX(INPUT!$B$23:$F$23,1,L$4+1)</f>
        <v>0.35</v>
      </c>
      <c r="M12" s="61" t="n">
        <f aca="false">INDEX(INPUT!$B$23:$F$23,1,M$4+1)</f>
        <v>0.35</v>
      </c>
      <c r="N12" s="61" t="n">
        <f aca="false">INDEX(INPUT!$B$23:$F$23,1,N$4+1)</f>
        <v>0.3</v>
      </c>
      <c r="O12" s="61" t="n">
        <f aca="false">INDEX(INPUT!$B$23:$F$23,1,O$4+1)</f>
        <v>0.3</v>
      </c>
      <c r="P12" s="61" t="n">
        <f aca="false">INDEX(INPUT!$B$23:$F$23,1,P$4+1)</f>
        <v>0.3</v>
      </c>
      <c r="Q12" s="61" t="n">
        <f aca="false">INDEX(INPUT!$B$23:$F$23,1,Q$4+1)</f>
        <v>0.3</v>
      </c>
      <c r="R12" s="61" t="n">
        <f aca="false">INDEX(INPUT!$B$23:$F$23,1,R$4+1)</f>
        <v>0.3</v>
      </c>
      <c r="S12" s="61" t="n">
        <f aca="false">INDEX(INPUT!$B$23:$F$23,1,S$4+1)</f>
        <v>0.3</v>
      </c>
      <c r="T12" s="61" t="n">
        <f aca="false">INDEX(INPUT!$B$23:$F$23,1,T$4+1)</f>
        <v>0.3</v>
      </c>
      <c r="U12" s="61" t="n">
        <f aca="false">INDEX(INPUT!$B$23:$F$23,1,U$4+1)</f>
        <v>0.3</v>
      </c>
      <c r="V12" s="61" t="n">
        <f aca="false">INDEX(INPUT!$B$23:$F$23,1,V$4+1)</f>
        <v>0.3</v>
      </c>
      <c r="W12" s="61" t="n">
        <f aca="false">INDEX(INPUT!$B$23:$F$23,1,W$4+1)</f>
        <v>0.3</v>
      </c>
      <c r="X12" s="61" t="n">
        <f aca="false">INDEX(INPUT!$B$23:$F$23,1,X$4+1)</f>
        <v>0.3</v>
      </c>
      <c r="Y12" s="61" t="n">
        <f aca="false">INDEX(INPUT!$B$23:$F$23,1,Y$4+1)</f>
        <v>0.3</v>
      </c>
      <c r="Z12" s="61" t="n">
        <f aca="false">INDEX(INPUT!$B$23:$F$23,1,Z$4+1)</f>
        <v>0.25</v>
      </c>
      <c r="AA12" s="61" t="n">
        <f aca="false">INDEX(INPUT!$B$23:$F$23,1,AA$4+1)</f>
        <v>0.25</v>
      </c>
      <c r="AB12" s="61" t="n">
        <f aca="false">INDEX(INPUT!$B$23:$F$23,1,AB$4+1)</f>
        <v>0.25</v>
      </c>
      <c r="AC12" s="61" t="n">
        <f aca="false">INDEX(INPUT!$B$23:$F$23,1,AC$4+1)</f>
        <v>0.25</v>
      </c>
      <c r="AD12" s="61" t="n">
        <f aca="false">INDEX(INPUT!$B$23:$F$23,1,AD$4+1)</f>
        <v>0.25</v>
      </c>
      <c r="AE12" s="61" t="n">
        <f aca="false">INDEX(INPUT!$B$23:$F$23,1,AE$4+1)</f>
        <v>0.25</v>
      </c>
      <c r="AF12" s="61" t="n">
        <f aca="false">INDEX(INPUT!$B$23:$F$23,1,AF$4+1)</f>
        <v>0.25</v>
      </c>
      <c r="AG12" s="61" t="n">
        <f aca="false">INDEX(INPUT!$B$23:$F$23,1,AG$4+1)</f>
        <v>0.25</v>
      </c>
      <c r="AH12" s="61" t="n">
        <f aca="false">INDEX(INPUT!$B$23:$F$23,1,AH$4+1)</f>
        <v>0.25</v>
      </c>
      <c r="AI12" s="61" t="n">
        <f aca="false">INDEX(INPUT!$B$23:$F$23,1,AI$4+1)</f>
        <v>0.25</v>
      </c>
      <c r="AJ12" s="61" t="n">
        <f aca="false">INDEX(INPUT!$B$23:$F$23,1,AJ$4+1)</f>
        <v>0.25</v>
      </c>
      <c r="AK12" s="61" t="n">
        <f aca="false">INDEX(INPUT!$B$23:$F$23,1,AK$4+1)</f>
        <v>0.25</v>
      </c>
      <c r="AL12" s="61" t="n">
        <f aca="false">INDEX(INPUT!$B$23:$F$23,1,AL$4+1)</f>
        <v>0.22</v>
      </c>
      <c r="AM12" s="61" t="n">
        <f aca="false">INDEX(INPUT!$B$23:$F$23,1,AM$4+1)</f>
        <v>0.22</v>
      </c>
      <c r="AN12" s="61" t="n">
        <f aca="false">INDEX(INPUT!$B$23:$F$23,1,AN$4+1)</f>
        <v>0.22</v>
      </c>
      <c r="AO12" s="61" t="n">
        <f aca="false">INDEX(INPUT!$B$23:$F$23,1,AO$4+1)</f>
        <v>0.22</v>
      </c>
      <c r="AP12" s="61" t="n">
        <f aca="false">INDEX(INPUT!$B$23:$F$23,1,AP$4+1)</f>
        <v>0.22</v>
      </c>
      <c r="AQ12" s="61" t="n">
        <f aca="false">INDEX(INPUT!$B$23:$F$23,1,AQ$4+1)</f>
        <v>0.22</v>
      </c>
      <c r="AR12" s="61" t="n">
        <f aca="false">INDEX(INPUT!$B$23:$F$23,1,AR$4+1)</f>
        <v>0.22</v>
      </c>
      <c r="AS12" s="61" t="n">
        <f aca="false">INDEX(INPUT!$B$23:$F$23,1,AS$4+1)</f>
        <v>0.22</v>
      </c>
      <c r="AT12" s="61" t="n">
        <f aca="false">INDEX(INPUT!$B$23:$F$23,1,AT$4+1)</f>
        <v>0.22</v>
      </c>
      <c r="AU12" s="61" t="n">
        <f aca="false">INDEX(INPUT!$B$23:$F$23,1,AU$4+1)</f>
        <v>0.22</v>
      </c>
      <c r="AV12" s="61" t="n">
        <f aca="false">INDEX(INPUT!$B$23:$F$23,1,AV$4+1)</f>
        <v>0.22</v>
      </c>
      <c r="AW12" s="61" t="n">
        <f aca="false">INDEX(INPUT!$B$23:$F$23,1,AW$4+1)</f>
        <v>0.22</v>
      </c>
      <c r="AX12" s="61" t="n">
        <f aca="false">INDEX(INPUT!$B$23:$F$23,1,AX$4+1)</f>
        <v>0.2</v>
      </c>
      <c r="AY12" s="61" t="n">
        <f aca="false">INDEX(INPUT!$B$23:$F$23,1,AY$4+1)</f>
        <v>0.2</v>
      </c>
      <c r="AZ12" s="61" t="n">
        <f aca="false">INDEX(INPUT!$B$23:$F$23,1,AZ$4+1)</f>
        <v>0.2</v>
      </c>
      <c r="BA12" s="61" t="n">
        <f aca="false">INDEX(INPUT!$B$23:$F$23,1,BA$4+1)</f>
        <v>0.2</v>
      </c>
      <c r="BB12" s="61" t="n">
        <f aca="false">INDEX(INPUT!$B$23:$F$23,1,BB$4+1)</f>
        <v>0.2</v>
      </c>
      <c r="BC12" s="61" t="n">
        <f aca="false">INDEX(INPUT!$B$23:$F$23,1,BC$4+1)</f>
        <v>0.2</v>
      </c>
      <c r="BD12" s="61" t="n">
        <f aca="false">INDEX(INPUT!$B$23:$F$23,1,BD$4+1)</f>
        <v>0.2</v>
      </c>
      <c r="BE12" s="61" t="n">
        <f aca="false">INDEX(INPUT!$B$23:$F$23,1,BE$4+1)</f>
        <v>0.2</v>
      </c>
      <c r="BF12" s="61" t="n">
        <f aca="false">INDEX(INPUT!$B$23:$F$23,1,BF$4+1)</f>
        <v>0.2</v>
      </c>
      <c r="BG12" s="61" t="n">
        <f aca="false">INDEX(INPUT!$B$23:$F$23,1,BG$4+1)</f>
        <v>0.2</v>
      </c>
      <c r="BH12" s="61" t="n">
        <f aca="false">INDEX(INPUT!$B$23:$F$23,1,BH$4+1)</f>
        <v>0.2</v>
      </c>
      <c r="BI12" s="61" t="n">
        <f aca="false">INDEX(INPUT!$B$23:$F$23,1,BI$4+1)</f>
        <v>0.2</v>
      </c>
    </row>
    <row r="13" customFormat="false" ht="15" hidden="false" customHeight="true" outlineLevel="0" collapsed="false">
      <c r="A13" s="11" t="s">
        <v>394</v>
      </c>
      <c r="B13" s="60" t="n">
        <f aca="false">INDEX(INPUT!$B$97:$F$97,1,B$4+1)</f>
        <v>8</v>
      </c>
      <c r="C13" s="60" t="n">
        <f aca="false">INDEX(INPUT!$B$97:$F$97,1,C$4+1)</f>
        <v>8</v>
      </c>
      <c r="D13" s="60" t="n">
        <f aca="false">INDEX(INPUT!$B$97:$F$97,1,D$4+1)</f>
        <v>8</v>
      </c>
      <c r="E13" s="60" t="n">
        <f aca="false">INDEX(INPUT!$B$97:$F$97,1,E$4+1)</f>
        <v>8</v>
      </c>
      <c r="F13" s="60" t="n">
        <f aca="false">INDEX(INPUT!$B$97:$F$97,1,F$4+1)</f>
        <v>8</v>
      </c>
      <c r="G13" s="60" t="n">
        <f aca="false">INDEX(INPUT!$B$97:$F$97,1,G$4+1)</f>
        <v>8</v>
      </c>
      <c r="H13" s="60" t="n">
        <f aca="false">INDEX(INPUT!$B$97:$F$97,1,H$4+1)</f>
        <v>8</v>
      </c>
      <c r="I13" s="60" t="n">
        <f aca="false">INDEX(INPUT!$B$97:$F$97,1,I$4+1)</f>
        <v>8</v>
      </c>
      <c r="J13" s="60" t="n">
        <f aca="false">INDEX(INPUT!$B$97:$F$97,1,J$4+1)</f>
        <v>8</v>
      </c>
      <c r="K13" s="60" t="n">
        <f aca="false">INDEX(INPUT!$B$97:$F$97,1,K$4+1)</f>
        <v>8</v>
      </c>
      <c r="L13" s="60" t="n">
        <f aca="false">INDEX(INPUT!$B$97:$F$97,1,L$4+1)</f>
        <v>8</v>
      </c>
      <c r="M13" s="60" t="n">
        <f aca="false">INDEX(INPUT!$B$97:$F$97,1,M$4+1)</f>
        <v>8</v>
      </c>
      <c r="N13" s="60" t="n">
        <f aca="false">INDEX(INPUT!$B$97:$F$97,1,N$4+1)</f>
        <v>12</v>
      </c>
      <c r="O13" s="60" t="n">
        <f aca="false">INDEX(INPUT!$B$97:$F$97,1,O$4+1)</f>
        <v>12</v>
      </c>
      <c r="P13" s="60" t="n">
        <f aca="false">INDEX(INPUT!$B$97:$F$97,1,P$4+1)</f>
        <v>12</v>
      </c>
      <c r="Q13" s="60" t="n">
        <f aca="false">INDEX(INPUT!$B$97:$F$97,1,Q$4+1)</f>
        <v>12</v>
      </c>
      <c r="R13" s="60" t="n">
        <f aca="false">INDEX(INPUT!$B$97:$F$97,1,R$4+1)</f>
        <v>12</v>
      </c>
      <c r="S13" s="60" t="n">
        <f aca="false">INDEX(INPUT!$B$97:$F$97,1,S$4+1)</f>
        <v>12</v>
      </c>
      <c r="T13" s="60" t="n">
        <f aca="false">INDEX(INPUT!$B$97:$F$97,1,T$4+1)</f>
        <v>12</v>
      </c>
      <c r="U13" s="60" t="n">
        <f aca="false">INDEX(INPUT!$B$97:$F$97,1,U$4+1)</f>
        <v>12</v>
      </c>
      <c r="V13" s="60" t="n">
        <f aca="false">INDEX(INPUT!$B$97:$F$97,1,V$4+1)</f>
        <v>12</v>
      </c>
      <c r="W13" s="60" t="n">
        <f aca="false">INDEX(INPUT!$B$97:$F$97,1,W$4+1)</f>
        <v>12</v>
      </c>
      <c r="X13" s="60" t="n">
        <f aca="false">INDEX(INPUT!$B$97:$F$97,1,X$4+1)</f>
        <v>12</v>
      </c>
      <c r="Y13" s="60" t="n">
        <f aca="false">INDEX(INPUT!$B$97:$F$97,1,Y$4+1)</f>
        <v>12</v>
      </c>
      <c r="Z13" s="60" t="n">
        <f aca="false">INDEX(INPUT!$B$97:$F$97,1,Z$4+1)</f>
        <v>18</v>
      </c>
      <c r="AA13" s="60" t="n">
        <f aca="false">INDEX(INPUT!$B$97:$F$97,1,AA$4+1)</f>
        <v>18</v>
      </c>
      <c r="AB13" s="60" t="n">
        <f aca="false">INDEX(INPUT!$B$97:$F$97,1,AB$4+1)</f>
        <v>18</v>
      </c>
      <c r="AC13" s="60" t="n">
        <f aca="false">INDEX(INPUT!$B$97:$F$97,1,AC$4+1)</f>
        <v>18</v>
      </c>
      <c r="AD13" s="60" t="n">
        <f aca="false">INDEX(INPUT!$B$97:$F$97,1,AD$4+1)</f>
        <v>18</v>
      </c>
      <c r="AE13" s="60" t="n">
        <f aca="false">INDEX(INPUT!$B$97:$F$97,1,AE$4+1)</f>
        <v>18</v>
      </c>
      <c r="AF13" s="60" t="n">
        <f aca="false">INDEX(INPUT!$B$97:$F$97,1,AF$4+1)</f>
        <v>18</v>
      </c>
      <c r="AG13" s="60" t="n">
        <f aca="false">INDEX(INPUT!$B$97:$F$97,1,AG$4+1)</f>
        <v>18</v>
      </c>
      <c r="AH13" s="60" t="n">
        <f aca="false">INDEX(INPUT!$B$97:$F$97,1,AH$4+1)</f>
        <v>18</v>
      </c>
      <c r="AI13" s="60" t="n">
        <f aca="false">INDEX(INPUT!$B$97:$F$97,1,AI$4+1)</f>
        <v>18</v>
      </c>
      <c r="AJ13" s="60" t="n">
        <f aca="false">INDEX(INPUT!$B$97:$F$97,1,AJ$4+1)</f>
        <v>18</v>
      </c>
      <c r="AK13" s="60" t="n">
        <f aca="false">INDEX(INPUT!$B$97:$F$97,1,AK$4+1)</f>
        <v>18</v>
      </c>
      <c r="AL13" s="60" t="n">
        <f aca="false">INDEX(INPUT!$B$97:$F$97,1,AL$4+1)</f>
        <v>22</v>
      </c>
      <c r="AM13" s="60" t="n">
        <f aca="false">INDEX(INPUT!$B$97:$F$97,1,AM$4+1)</f>
        <v>22</v>
      </c>
      <c r="AN13" s="60" t="n">
        <f aca="false">INDEX(INPUT!$B$97:$F$97,1,AN$4+1)</f>
        <v>22</v>
      </c>
      <c r="AO13" s="60" t="n">
        <f aca="false">INDEX(INPUT!$B$97:$F$97,1,AO$4+1)</f>
        <v>22</v>
      </c>
      <c r="AP13" s="60" t="n">
        <f aca="false">INDEX(INPUT!$B$97:$F$97,1,AP$4+1)</f>
        <v>22</v>
      </c>
      <c r="AQ13" s="60" t="n">
        <f aca="false">INDEX(INPUT!$B$97:$F$97,1,AQ$4+1)</f>
        <v>22</v>
      </c>
      <c r="AR13" s="60" t="n">
        <f aca="false">INDEX(INPUT!$B$97:$F$97,1,AR$4+1)</f>
        <v>22</v>
      </c>
      <c r="AS13" s="60" t="n">
        <f aca="false">INDEX(INPUT!$B$97:$F$97,1,AS$4+1)</f>
        <v>22</v>
      </c>
      <c r="AT13" s="60" t="n">
        <f aca="false">INDEX(INPUT!$B$97:$F$97,1,AT$4+1)</f>
        <v>22</v>
      </c>
      <c r="AU13" s="60" t="n">
        <f aca="false">INDEX(INPUT!$B$97:$F$97,1,AU$4+1)</f>
        <v>22</v>
      </c>
      <c r="AV13" s="60" t="n">
        <f aca="false">INDEX(INPUT!$B$97:$F$97,1,AV$4+1)</f>
        <v>22</v>
      </c>
      <c r="AW13" s="60" t="n">
        <f aca="false">INDEX(INPUT!$B$97:$F$97,1,AW$4+1)</f>
        <v>22</v>
      </c>
      <c r="AX13" s="60" t="n">
        <f aca="false">INDEX(INPUT!$B$97:$F$97,1,AX$4+1)</f>
        <v>26</v>
      </c>
      <c r="AY13" s="60" t="n">
        <f aca="false">INDEX(INPUT!$B$97:$F$97,1,AY$4+1)</f>
        <v>26</v>
      </c>
      <c r="AZ13" s="60" t="n">
        <f aca="false">INDEX(INPUT!$B$97:$F$97,1,AZ$4+1)</f>
        <v>26</v>
      </c>
      <c r="BA13" s="60" t="n">
        <f aca="false">INDEX(INPUT!$B$97:$F$97,1,BA$4+1)</f>
        <v>26</v>
      </c>
      <c r="BB13" s="60" t="n">
        <f aca="false">INDEX(INPUT!$B$97:$F$97,1,BB$4+1)</f>
        <v>26</v>
      </c>
      <c r="BC13" s="60" t="n">
        <f aca="false">INDEX(INPUT!$B$97:$F$97,1,BC$4+1)</f>
        <v>26</v>
      </c>
      <c r="BD13" s="60" t="n">
        <f aca="false">INDEX(INPUT!$B$97:$F$97,1,BD$4+1)</f>
        <v>26</v>
      </c>
      <c r="BE13" s="60" t="n">
        <f aca="false">INDEX(INPUT!$B$97:$F$97,1,BE$4+1)</f>
        <v>26</v>
      </c>
      <c r="BF13" s="60" t="n">
        <f aca="false">INDEX(INPUT!$B$97:$F$97,1,BF$4+1)</f>
        <v>26</v>
      </c>
      <c r="BG13" s="60" t="n">
        <f aca="false">INDEX(INPUT!$B$97:$F$97,1,BG$4+1)</f>
        <v>26</v>
      </c>
      <c r="BH13" s="60" t="n">
        <f aca="false">INDEX(INPUT!$B$97:$F$97,1,BH$4+1)</f>
        <v>26</v>
      </c>
      <c r="BI13" s="60" t="n">
        <f aca="false">INDEX(INPUT!$B$97:$F$97,1,BI$4+1)</f>
        <v>26</v>
      </c>
    </row>
    <row r="14" customFormat="false" ht="15" hidden="false" customHeight="true" outlineLevel="0" collapsed="false">
      <c r="A14" s="11" t="s">
        <v>395</v>
      </c>
      <c r="B14" s="60" t="n">
        <f aca="false">INDEX(INPUT!$B$102:$F$102,1,B$4+1)</f>
        <v>50</v>
      </c>
      <c r="C14" s="60" t="n">
        <f aca="false">INDEX(INPUT!$B$102:$F$102,1,C$4+1)</f>
        <v>50</v>
      </c>
      <c r="D14" s="60" t="n">
        <f aca="false">INDEX(INPUT!$B$102:$F$102,1,D$4+1)</f>
        <v>50</v>
      </c>
      <c r="E14" s="60" t="n">
        <f aca="false">INDEX(INPUT!$B$102:$F$102,1,E$4+1)</f>
        <v>50</v>
      </c>
      <c r="F14" s="60" t="n">
        <f aca="false">INDEX(INPUT!$B$102:$F$102,1,F$4+1)</f>
        <v>50</v>
      </c>
      <c r="G14" s="60" t="n">
        <f aca="false">INDEX(INPUT!$B$102:$F$102,1,G$4+1)</f>
        <v>50</v>
      </c>
      <c r="H14" s="60" t="n">
        <f aca="false">INDEX(INPUT!$B$102:$F$102,1,H$4+1)</f>
        <v>50</v>
      </c>
      <c r="I14" s="60" t="n">
        <f aca="false">INDEX(INPUT!$B$102:$F$102,1,I$4+1)</f>
        <v>50</v>
      </c>
      <c r="J14" s="60" t="n">
        <f aca="false">INDEX(INPUT!$B$102:$F$102,1,J$4+1)</f>
        <v>50</v>
      </c>
      <c r="K14" s="60" t="n">
        <f aca="false">INDEX(INPUT!$B$102:$F$102,1,K$4+1)</f>
        <v>50</v>
      </c>
      <c r="L14" s="60" t="n">
        <f aca="false">INDEX(INPUT!$B$102:$F$102,1,L$4+1)</f>
        <v>50</v>
      </c>
      <c r="M14" s="60" t="n">
        <f aca="false">INDEX(INPUT!$B$102:$F$102,1,M$4+1)</f>
        <v>50</v>
      </c>
      <c r="N14" s="60" t="n">
        <f aca="false">INDEX(INPUT!$B$102:$F$102,1,N$4+1)</f>
        <v>50</v>
      </c>
      <c r="O14" s="60" t="n">
        <f aca="false">INDEX(INPUT!$B$102:$F$102,1,O$4+1)</f>
        <v>50</v>
      </c>
      <c r="P14" s="60" t="n">
        <f aca="false">INDEX(INPUT!$B$102:$F$102,1,P$4+1)</f>
        <v>50</v>
      </c>
      <c r="Q14" s="60" t="n">
        <f aca="false">INDEX(INPUT!$B$102:$F$102,1,Q$4+1)</f>
        <v>50</v>
      </c>
      <c r="R14" s="60" t="n">
        <f aca="false">INDEX(INPUT!$B$102:$F$102,1,R$4+1)</f>
        <v>50</v>
      </c>
      <c r="S14" s="60" t="n">
        <f aca="false">INDEX(INPUT!$B$102:$F$102,1,S$4+1)</f>
        <v>50</v>
      </c>
      <c r="T14" s="60" t="n">
        <f aca="false">INDEX(INPUT!$B$102:$F$102,1,T$4+1)</f>
        <v>50</v>
      </c>
      <c r="U14" s="60" t="n">
        <f aca="false">INDEX(INPUT!$B$102:$F$102,1,U$4+1)</f>
        <v>50</v>
      </c>
      <c r="V14" s="60" t="n">
        <f aca="false">INDEX(INPUT!$B$102:$F$102,1,V$4+1)</f>
        <v>50</v>
      </c>
      <c r="W14" s="60" t="n">
        <f aca="false">INDEX(INPUT!$B$102:$F$102,1,W$4+1)</f>
        <v>50</v>
      </c>
      <c r="X14" s="60" t="n">
        <f aca="false">INDEX(INPUT!$B$102:$F$102,1,X$4+1)</f>
        <v>50</v>
      </c>
      <c r="Y14" s="60" t="n">
        <f aca="false">INDEX(INPUT!$B$102:$F$102,1,Y$4+1)</f>
        <v>50</v>
      </c>
      <c r="Z14" s="60" t="n">
        <f aca="false">INDEX(INPUT!$B$102:$F$102,1,Z$4+1)</f>
        <v>50</v>
      </c>
      <c r="AA14" s="60" t="n">
        <f aca="false">INDEX(INPUT!$B$102:$F$102,1,AA$4+1)</f>
        <v>50</v>
      </c>
      <c r="AB14" s="60" t="n">
        <f aca="false">INDEX(INPUT!$B$102:$F$102,1,AB$4+1)</f>
        <v>50</v>
      </c>
      <c r="AC14" s="60" t="n">
        <f aca="false">INDEX(INPUT!$B$102:$F$102,1,AC$4+1)</f>
        <v>50</v>
      </c>
      <c r="AD14" s="60" t="n">
        <f aca="false">INDEX(INPUT!$B$102:$F$102,1,AD$4+1)</f>
        <v>50</v>
      </c>
      <c r="AE14" s="60" t="n">
        <f aca="false">INDEX(INPUT!$B$102:$F$102,1,AE$4+1)</f>
        <v>50</v>
      </c>
      <c r="AF14" s="60" t="n">
        <f aca="false">INDEX(INPUT!$B$102:$F$102,1,AF$4+1)</f>
        <v>50</v>
      </c>
      <c r="AG14" s="60" t="n">
        <f aca="false">INDEX(INPUT!$B$102:$F$102,1,AG$4+1)</f>
        <v>50</v>
      </c>
      <c r="AH14" s="60" t="n">
        <f aca="false">INDEX(INPUT!$B$102:$F$102,1,AH$4+1)</f>
        <v>50</v>
      </c>
      <c r="AI14" s="60" t="n">
        <f aca="false">INDEX(INPUT!$B$102:$F$102,1,AI$4+1)</f>
        <v>50</v>
      </c>
      <c r="AJ14" s="60" t="n">
        <f aca="false">INDEX(INPUT!$B$102:$F$102,1,AJ$4+1)</f>
        <v>50</v>
      </c>
      <c r="AK14" s="60" t="n">
        <f aca="false">INDEX(INPUT!$B$102:$F$102,1,AK$4+1)</f>
        <v>50</v>
      </c>
      <c r="AL14" s="60" t="n">
        <f aca="false">INDEX(INPUT!$B$102:$F$102,1,AL$4+1)</f>
        <v>50</v>
      </c>
      <c r="AM14" s="60" t="n">
        <f aca="false">INDEX(INPUT!$B$102:$F$102,1,AM$4+1)</f>
        <v>50</v>
      </c>
      <c r="AN14" s="60" t="n">
        <f aca="false">INDEX(INPUT!$B$102:$F$102,1,AN$4+1)</f>
        <v>50</v>
      </c>
      <c r="AO14" s="60" t="n">
        <f aca="false">INDEX(INPUT!$B$102:$F$102,1,AO$4+1)</f>
        <v>50</v>
      </c>
      <c r="AP14" s="60" t="n">
        <f aca="false">INDEX(INPUT!$B$102:$F$102,1,AP$4+1)</f>
        <v>50</v>
      </c>
      <c r="AQ14" s="60" t="n">
        <f aca="false">INDEX(INPUT!$B$102:$F$102,1,AQ$4+1)</f>
        <v>50</v>
      </c>
      <c r="AR14" s="60" t="n">
        <f aca="false">INDEX(INPUT!$B$102:$F$102,1,AR$4+1)</f>
        <v>50</v>
      </c>
      <c r="AS14" s="60" t="n">
        <f aca="false">INDEX(INPUT!$B$102:$F$102,1,AS$4+1)</f>
        <v>50</v>
      </c>
      <c r="AT14" s="60" t="n">
        <f aca="false">INDEX(INPUT!$B$102:$F$102,1,AT$4+1)</f>
        <v>50</v>
      </c>
      <c r="AU14" s="60" t="n">
        <f aca="false">INDEX(INPUT!$B$102:$F$102,1,AU$4+1)</f>
        <v>50</v>
      </c>
      <c r="AV14" s="60" t="n">
        <f aca="false">INDEX(INPUT!$B$102:$F$102,1,AV$4+1)</f>
        <v>50</v>
      </c>
      <c r="AW14" s="60" t="n">
        <f aca="false">INDEX(INPUT!$B$102:$F$102,1,AW$4+1)</f>
        <v>50</v>
      </c>
      <c r="AX14" s="60" t="n">
        <f aca="false">INDEX(INPUT!$B$102:$F$102,1,AX$4+1)</f>
        <v>50</v>
      </c>
      <c r="AY14" s="60" t="n">
        <f aca="false">INDEX(INPUT!$B$102:$F$102,1,AY$4+1)</f>
        <v>50</v>
      </c>
      <c r="AZ14" s="60" t="n">
        <f aca="false">INDEX(INPUT!$B$102:$F$102,1,AZ$4+1)</f>
        <v>50</v>
      </c>
      <c r="BA14" s="60" t="n">
        <f aca="false">INDEX(INPUT!$B$102:$F$102,1,BA$4+1)</f>
        <v>50</v>
      </c>
      <c r="BB14" s="60" t="n">
        <f aca="false">INDEX(INPUT!$B$102:$F$102,1,BB$4+1)</f>
        <v>50</v>
      </c>
      <c r="BC14" s="60" t="n">
        <f aca="false">INDEX(INPUT!$B$102:$F$102,1,BC$4+1)</f>
        <v>50</v>
      </c>
      <c r="BD14" s="60" t="n">
        <f aca="false">INDEX(INPUT!$B$102:$F$102,1,BD$4+1)</f>
        <v>50</v>
      </c>
      <c r="BE14" s="60" t="n">
        <f aca="false">INDEX(INPUT!$B$102:$F$102,1,BE$4+1)</f>
        <v>50</v>
      </c>
      <c r="BF14" s="60" t="n">
        <f aca="false">INDEX(INPUT!$B$102:$F$102,1,BF$4+1)</f>
        <v>50</v>
      </c>
      <c r="BG14" s="60" t="n">
        <f aca="false">INDEX(INPUT!$B$102:$F$102,1,BG$4+1)</f>
        <v>50</v>
      </c>
      <c r="BH14" s="60" t="n">
        <f aca="false">INDEX(INPUT!$B$102:$F$102,1,BH$4+1)</f>
        <v>50</v>
      </c>
      <c r="BI14" s="60" t="n">
        <f aca="false">INDEX(INPUT!$B$102:$F$102,1,BI$4+1)</f>
        <v>50</v>
      </c>
    </row>
    <row r="15" customFormat="false" ht="15" hidden="false" customHeight="true" outlineLevel="0" collapsed="false">
      <c r="A15" s="11" t="s">
        <v>396</v>
      </c>
      <c r="B15" s="60" t="n">
        <f aca="false">INDEX(INPUT!$B$107:$F$107,1,B$4+1)</f>
        <v>5</v>
      </c>
      <c r="C15" s="60" t="n">
        <f aca="false">INDEX(INPUT!$B$107:$F$107,1,C$4+1)</f>
        <v>5</v>
      </c>
      <c r="D15" s="60" t="n">
        <f aca="false">INDEX(INPUT!$B$107:$F$107,1,D$4+1)</f>
        <v>5</v>
      </c>
      <c r="E15" s="60" t="n">
        <f aca="false">INDEX(INPUT!$B$107:$F$107,1,E$4+1)</f>
        <v>5</v>
      </c>
      <c r="F15" s="60" t="n">
        <f aca="false">INDEX(INPUT!$B$107:$F$107,1,F$4+1)</f>
        <v>5</v>
      </c>
      <c r="G15" s="60" t="n">
        <f aca="false">INDEX(INPUT!$B$107:$F$107,1,G$4+1)</f>
        <v>5</v>
      </c>
      <c r="H15" s="60" t="n">
        <f aca="false">INDEX(INPUT!$B$107:$F$107,1,H$4+1)</f>
        <v>5</v>
      </c>
      <c r="I15" s="60" t="n">
        <f aca="false">INDEX(INPUT!$B$107:$F$107,1,I$4+1)</f>
        <v>5</v>
      </c>
      <c r="J15" s="60" t="n">
        <f aca="false">INDEX(INPUT!$B$107:$F$107,1,J$4+1)</f>
        <v>5</v>
      </c>
      <c r="K15" s="60" t="n">
        <f aca="false">INDEX(INPUT!$B$107:$F$107,1,K$4+1)</f>
        <v>5</v>
      </c>
      <c r="L15" s="60" t="n">
        <f aca="false">INDEX(INPUT!$B$107:$F$107,1,L$4+1)</f>
        <v>5</v>
      </c>
      <c r="M15" s="60" t="n">
        <f aca="false">INDEX(INPUT!$B$107:$F$107,1,M$4+1)</f>
        <v>5</v>
      </c>
      <c r="N15" s="60" t="n">
        <f aca="false">INDEX(INPUT!$B$107:$F$107,1,N$4+1)</f>
        <v>5</v>
      </c>
      <c r="O15" s="60" t="n">
        <f aca="false">INDEX(INPUT!$B$107:$F$107,1,O$4+1)</f>
        <v>5</v>
      </c>
      <c r="P15" s="60" t="n">
        <f aca="false">INDEX(INPUT!$B$107:$F$107,1,P$4+1)</f>
        <v>5</v>
      </c>
      <c r="Q15" s="60" t="n">
        <f aca="false">INDEX(INPUT!$B$107:$F$107,1,Q$4+1)</f>
        <v>5</v>
      </c>
      <c r="R15" s="60" t="n">
        <f aca="false">INDEX(INPUT!$B$107:$F$107,1,R$4+1)</f>
        <v>5</v>
      </c>
      <c r="S15" s="60" t="n">
        <f aca="false">INDEX(INPUT!$B$107:$F$107,1,S$4+1)</f>
        <v>5</v>
      </c>
      <c r="T15" s="60" t="n">
        <f aca="false">INDEX(INPUT!$B$107:$F$107,1,T$4+1)</f>
        <v>5</v>
      </c>
      <c r="U15" s="60" t="n">
        <f aca="false">INDEX(INPUT!$B$107:$F$107,1,U$4+1)</f>
        <v>5</v>
      </c>
      <c r="V15" s="60" t="n">
        <f aca="false">INDEX(INPUT!$B$107:$F$107,1,V$4+1)</f>
        <v>5</v>
      </c>
      <c r="W15" s="60" t="n">
        <f aca="false">INDEX(INPUT!$B$107:$F$107,1,W$4+1)</f>
        <v>5</v>
      </c>
      <c r="X15" s="60" t="n">
        <f aca="false">INDEX(INPUT!$B$107:$F$107,1,X$4+1)</f>
        <v>5</v>
      </c>
      <c r="Y15" s="60" t="n">
        <f aca="false">INDEX(INPUT!$B$107:$F$107,1,Y$4+1)</f>
        <v>5</v>
      </c>
      <c r="Z15" s="60" t="n">
        <f aca="false">INDEX(INPUT!$B$107:$F$107,1,Z$4+1)</f>
        <v>5</v>
      </c>
      <c r="AA15" s="60" t="n">
        <f aca="false">INDEX(INPUT!$B$107:$F$107,1,AA$4+1)</f>
        <v>5</v>
      </c>
      <c r="AB15" s="60" t="n">
        <f aca="false">INDEX(INPUT!$B$107:$F$107,1,AB$4+1)</f>
        <v>5</v>
      </c>
      <c r="AC15" s="60" t="n">
        <f aca="false">INDEX(INPUT!$B$107:$F$107,1,AC$4+1)</f>
        <v>5</v>
      </c>
      <c r="AD15" s="60" t="n">
        <f aca="false">INDEX(INPUT!$B$107:$F$107,1,AD$4+1)</f>
        <v>5</v>
      </c>
      <c r="AE15" s="60" t="n">
        <f aca="false">INDEX(INPUT!$B$107:$F$107,1,AE$4+1)</f>
        <v>5</v>
      </c>
      <c r="AF15" s="60" t="n">
        <f aca="false">INDEX(INPUT!$B$107:$F$107,1,AF$4+1)</f>
        <v>5</v>
      </c>
      <c r="AG15" s="60" t="n">
        <f aca="false">INDEX(INPUT!$B$107:$F$107,1,AG$4+1)</f>
        <v>5</v>
      </c>
      <c r="AH15" s="60" t="n">
        <f aca="false">INDEX(INPUT!$B$107:$F$107,1,AH$4+1)</f>
        <v>5</v>
      </c>
      <c r="AI15" s="60" t="n">
        <f aca="false">INDEX(INPUT!$B$107:$F$107,1,AI$4+1)</f>
        <v>5</v>
      </c>
      <c r="AJ15" s="60" t="n">
        <f aca="false">INDEX(INPUT!$B$107:$F$107,1,AJ$4+1)</f>
        <v>5</v>
      </c>
      <c r="AK15" s="60" t="n">
        <f aca="false">INDEX(INPUT!$B$107:$F$107,1,AK$4+1)</f>
        <v>5</v>
      </c>
      <c r="AL15" s="60" t="n">
        <f aca="false">INDEX(INPUT!$B$107:$F$107,1,AL$4+1)</f>
        <v>5</v>
      </c>
      <c r="AM15" s="60" t="n">
        <f aca="false">INDEX(INPUT!$B$107:$F$107,1,AM$4+1)</f>
        <v>5</v>
      </c>
      <c r="AN15" s="60" t="n">
        <f aca="false">INDEX(INPUT!$B$107:$F$107,1,AN$4+1)</f>
        <v>5</v>
      </c>
      <c r="AO15" s="60" t="n">
        <f aca="false">INDEX(INPUT!$B$107:$F$107,1,AO$4+1)</f>
        <v>5</v>
      </c>
      <c r="AP15" s="60" t="n">
        <f aca="false">INDEX(INPUT!$B$107:$F$107,1,AP$4+1)</f>
        <v>5</v>
      </c>
      <c r="AQ15" s="60" t="n">
        <f aca="false">INDEX(INPUT!$B$107:$F$107,1,AQ$4+1)</f>
        <v>5</v>
      </c>
      <c r="AR15" s="60" t="n">
        <f aca="false">INDEX(INPUT!$B$107:$F$107,1,AR$4+1)</f>
        <v>5</v>
      </c>
      <c r="AS15" s="60" t="n">
        <f aca="false">INDEX(INPUT!$B$107:$F$107,1,AS$4+1)</f>
        <v>5</v>
      </c>
      <c r="AT15" s="60" t="n">
        <f aca="false">INDEX(INPUT!$B$107:$F$107,1,AT$4+1)</f>
        <v>5</v>
      </c>
      <c r="AU15" s="60" t="n">
        <f aca="false">INDEX(INPUT!$B$107:$F$107,1,AU$4+1)</f>
        <v>5</v>
      </c>
      <c r="AV15" s="60" t="n">
        <f aca="false">INDEX(INPUT!$B$107:$F$107,1,AV$4+1)</f>
        <v>5</v>
      </c>
      <c r="AW15" s="60" t="n">
        <f aca="false">INDEX(INPUT!$B$107:$F$107,1,AW$4+1)</f>
        <v>5</v>
      </c>
      <c r="AX15" s="60" t="n">
        <f aca="false">INDEX(INPUT!$B$107:$F$107,1,AX$4+1)</f>
        <v>5</v>
      </c>
      <c r="AY15" s="60" t="n">
        <f aca="false">INDEX(INPUT!$B$107:$F$107,1,AY$4+1)</f>
        <v>5</v>
      </c>
      <c r="AZ15" s="60" t="n">
        <f aca="false">INDEX(INPUT!$B$107:$F$107,1,AZ$4+1)</f>
        <v>5</v>
      </c>
      <c r="BA15" s="60" t="n">
        <f aca="false">INDEX(INPUT!$B$107:$F$107,1,BA$4+1)</f>
        <v>5</v>
      </c>
      <c r="BB15" s="60" t="n">
        <f aca="false">INDEX(INPUT!$B$107:$F$107,1,BB$4+1)</f>
        <v>5</v>
      </c>
      <c r="BC15" s="60" t="n">
        <f aca="false">INDEX(INPUT!$B$107:$F$107,1,BC$4+1)</f>
        <v>5</v>
      </c>
      <c r="BD15" s="60" t="n">
        <f aca="false">INDEX(INPUT!$B$107:$F$107,1,BD$4+1)</f>
        <v>5</v>
      </c>
      <c r="BE15" s="60" t="n">
        <f aca="false">INDEX(INPUT!$B$107:$F$107,1,BE$4+1)</f>
        <v>5</v>
      </c>
      <c r="BF15" s="60" t="n">
        <f aca="false">INDEX(INPUT!$B$107:$F$107,1,BF$4+1)</f>
        <v>5</v>
      </c>
      <c r="BG15" s="60" t="n">
        <f aca="false">INDEX(INPUT!$B$107:$F$107,1,BG$4+1)</f>
        <v>5</v>
      </c>
      <c r="BH15" s="60" t="n">
        <f aca="false">INDEX(INPUT!$B$107:$F$107,1,BH$4+1)</f>
        <v>5</v>
      </c>
      <c r="BI15" s="60" t="n">
        <f aca="false">INDEX(INPUT!$B$107:$F$107,1,BI$4+1)</f>
        <v>5</v>
      </c>
    </row>
    <row r="16" customFormat="false" ht="15" hidden="false" customHeight="true" outlineLevel="0" collapsed="false">
      <c r="A16" s="11" t="s">
        <v>397</v>
      </c>
      <c r="B16" s="62" t="n">
        <f aca="false">INDEX(INPUT!$B$112:$F$112,1,B$4+1)</f>
        <v>1</v>
      </c>
      <c r="C16" s="62" t="n">
        <f aca="false">INDEX(INPUT!$B$112:$F$112,1,C$4+1)</f>
        <v>1</v>
      </c>
      <c r="D16" s="62" t="n">
        <f aca="false">INDEX(INPUT!$B$112:$F$112,1,D$4+1)</f>
        <v>1</v>
      </c>
      <c r="E16" s="62" t="n">
        <f aca="false">INDEX(INPUT!$B$112:$F$112,1,E$4+1)</f>
        <v>1</v>
      </c>
      <c r="F16" s="62" t="n">
        <f aca="false">INDEX(INPUT!$B$112:$F$112,1,F$4+1)</f>
        <v>1</v>
      </c>
      <c r="G16" s="62" t="n">
        <f aca="false">INDEX(INPUT!$B$112:$F$112,1,G$4+1)</f>
        <v>1</v>
      </c>
      <c r="H16" s="62" t="n">
        <f aca="false">INDEX(INPUT!$B$112:$F$112,1,H$4+1)</f>
        <v>1</v>
      </c>
      <c r="I16" s="62" t="n">
        <f aca="false">INDEX(INPUT!$B$112:$F$112,1,I$4+1)</f>
        <v>1</v>
      </c>
      <c r="J16" s="62" t="n">
        <f aca="false">INDEX(INPUT!$B$112:$F$112,1,J$4+1)</f>
        <v>1</v>
      </c>
      <c r="K16" s="62" t="n">
        <f aca="false">INDEX(INPUT!$B$112:$F$112,1,K$4+1)</f>
        <v>1</v>
      </c>
      <c r="L16" s="62" t="n">
        <f aca="false">INDEX(INPUT!$B$112:$F$112,1,L$4+1)</f>
        <v>1</v>
      </c>
      <c r="M16" s="62" t="n">
        <f aca="false">INDEX(INPUT!$B$112:$F$112,1,M$4+1)</f>
        <v>1</v>
      </c>
      <c r="N16" s="62" t="n">
        <f aca="false">INDEX(INPUT!$B$112:$F$112,1,N$4+1)</f>
        <v>1</v>
      </c>
      <c r="O16" s="62" t="n">
        <f aca="false">INDEX(INPUT!$B$112:$F$112,1,O$4+1)</f>
        <v>1</v>
      </c>
      <c r="P16" s="62" t="n">
        <f aca="false">INDEX(INPUT!$B$112:$F$112,1,P$4+1)</f>
        <v>1</v>
      </c>
      <c r="Q16" s="62" t="n">
        <f aca="false">INDEX(INPUT!$B$112:$F$112,1,Q$4+1)</f>
        <v>1</v>
      </c>
      <c r="R16" s="62" t="n">
        <f aca="false">INDEX(INPUT!$B$112:$F$112,1,R$4+1)</f>
        <v>1</v>
      </c>
      <c r="S16" s="62" t="n">
        <f aca="false">INDEX(INPUT!$B$112:$F$112,1,S$4+1)</f>
        <v>1</v>
      </c>
      <c r="T16" s="62" t="n">
        <f aca="false">INDEX(INPUT!$B$112:$F$112,1,T$4+1)</f>
        <v>1</v>
      </c>
      <c r="U16" s="62" t="n">
        <f aca="false">INDEX(INPUT!$B$112:$F$112,1,U$4+1)</f>
        <v>1</v>
      </c>
      <c r="V16" s="62" t="n">
        <f aca="false">INDEX(INPUT!$B$112:$F$112,1,V$4+1)</f>
        <v>1</v>
      </c>
      <c r="W16" s="62" t="n">
        <f aca="false">INDEX(INPUT!$B$112:$F$112,1,W$4+1)</f>
        <v>1</v>
      </c>
      <c r="X16" s="62" t="n">
        <f aca="false">INDEX(INPUT!$B$112:$F$112,1,X$4+1)</f>
        <v>1</v>
      </c>
      <c r="Y16" s="62" t="n">
        <f aca="false">INDEX(INPUT!$B$112:$F$112,1,Y$4+1)</f>
        <v>1</v>
      </c>
      <c r="Z16" s="62" t="n">
        <f aca="false">INDEX(INPUT!$B$112:$F$112,1,Z$4+1)</f>
        <v>1</v>
      </c>
      <c r="AA16" s="62" t="n">
        <f aca="false">INDEX(INPUT!$B$112:$F$112,1,AA$4+1)</f>
        <v>1</v>
      </c>
      <c r="AB16" s="62" t="n">
        <f aca="false">INDEX(INPUT!$B$112:$F$112,1,AB$4+1)</f>
        <v>1</v>
      </c>
      <c r="AC16" s="62" t="n">
        <f aca="false">INDEX(INPUT!$B$112:$F$112,1,AC$4+1)</f>
        <v>1</v>
      </c>
      <c r="AD16" s="62" t="n">
        <f aca="false">INDEX(INPUT!$B$112:$F$112,1,AD$4+1)</f>
        <v>1</v>
      </c>
      <c r="AE16" s="62" t="n">
        <f aca="false">INDEX(INPUT!$B$112:$F$112,1,AE$4+1)</f>
        <v>1</v>
      </c>
      <c r="AF16" s="62" t="n">
        <f aca="false">INDEX(INPUT!$B$112:$F$112,1,AF$4+1)</f>
        <v>1</v>
      </c>
      <c r="AG16" s="62" t="n">
        <f aca="false">INDEX(INPUT!$B$112:$F$112,1,AG$4+1)</f>
        <v>1</v>
      </c>
      <c r="AH16" s="62" t="n">
        <f aca="false">INDEX(INPUT!$B$112:$F$112,1,AH$4+1)</f>
        <v>1</v>
      </c>
      <c r="AI16" s="62" t="n">
        <f aca="false">INDEX(INPUT!$B$112:$F$112,1,AI$4+1)</f>
        <v>1</v>
      </c>
      <c r="AJ16" s="62" t="n">
        <f aca="false">INDEX(INPUT!$B$112:$F$112,1,AJ$4+1)</f>
        <v>1</v>
      </c>
      <c r="AK16" s="62" t="n">
        <f aca="false">INDEX(INPUT!$B$112:$F$112,1,AK$4+1)</f>
        <v>1</v>
      </c>
      <c r="AL16" s="62" t="n">
        <f aca="false">INDEX(INPUT!$B$112:$F$112,1,AL$4+1)</f>
        <v>1</v>
      </c>
      <c r="AM16" s="62" t="n">
        <f aca="false">INDEX(INPUT!$B$112:$F$112,1,AM$4+1)</f>
        <v>1</v>
      </c>
      <c r="AN16" s="62" t="n">
        <f aca="false">INDEX(INPUT!$B$112:$F$112,1,AN$4+1)</f>
        <v>1</v>
      </c>
      <c r="AO16" s="62" t="n">
        <f aca="false">INDEX(INPUT!$B$112:$F$112,1,AO$4+1)</f>
        <v>1</v>
      </c>
      <c r="AP16" s="62" t="n">
        <f aca="false">INDEX(INPUT!$B$112:$F$112,1,AP$4+1)</f>
        <v>1</v>
      </c>
      <c r="AQ16" s="62" t="n">
        <f aca="false">INDEX(INPUT!$B$112:$F$112,1,AQ$4+1)</f>
        <v>1</v>
      </c>
      <c r="AR16" s="62" t="n">
        <f aca="false">INDEX(INPUT!$B$112:$F$112,1,AR$4+1)</f>
        <v>1</v>
      </c>
      <c r="AS16" s="62" t="n">
        <f aca="false">INDEX(INPUT!$B$112:$F$112,1,AS$4+1)</f>
        <v>1</v>
      </c>
      <c r="AT16" s="62" t="n">
        <f aca="false">INDEX(INPUT!$B$112:$F$112,1,AT$4+1)</f>
        <v>1</v>
      </c>
      <c r="AU16" s="62" t="n">
        <f aca="false">INDEX(INPUT!$B$112:$F$112,1,AU$4+1)</f>
        <v>1</v>
      </c>
      <c r="AV16" s="62" t="n">
        <f aca="false">INDEX(INPUT!$B$112:$F$112,1,AV$4+1)</f>
        <v>1</v>
      </c>
      <c r="AW16" s="62" t="n">
        <f aca="false">INDEX(INPUT!$B$112:$F$112,1,AW$4+1)</f>
        <v>1</v>
      </c>
      <c r="AX16" s="62" t="n">
        <f aca="false">INDEX(INPUT!$B$112:$F$112,1,AX$4+1)</f>
        <v>1</v>
      </c>
      <c r="AY16" s="62" t="n">
        <f aca="false">INDEX(INPUT!$B$112:$F$112,1,AY$4+1)</f>
        <v>1</v>
      </c>
      <c r="AZ16" s="62" t="n">
        <f aca="false">INDEX(INPUT!$B$112:$F$112,1,AZ$4+1)</f>
        <v>1</v>
      </c>
      <c r="BA16" s="62" t="n">
        <f aca="false">INDEX(INPUT!$B$112:$F$112,1,BA$4+1)</f>
        <v>1</v>
      </c>
      <c r="BB16" s="62" t="n">
        <f aca="false">INDEX(INPUT!$B$112:$F$112,1,BB$4+1)</f>
        <v>1</v>
      </c>
      <c r="BC16" s="62" t="n">
        <f aca="false">INDEX(INPUT!$B$112:$F$112,1,BC$4+1)</f>
        <v>1</v>
      </c>
      <c r="BD16" s="62" t="n">
        <f aca="false">INDEX(INPUT!$B$112:$F$112,1,BD$4+1)</f>
        <v>1</v>
      </c>
      <c r="BE16" s="62" t="n">
        <f aca="false">INDEX(INPUT!$B$112:$F$112,1,BE$4+1)</f>
        <v>1</v>
      </c>
      <c r="BF16" s="62" t="n">
        <f aca="false">INDEX(INPUT!$B$112:$F$112,1,BF$4+1)</f>
        <v>1</v>
      </c>
      <c r="BG16" s="62" t="n">
        <f aca="false">INDEX(INPUT!$B$112:$F$112,1,BG$4+1)</f>
        <v>1</v>
      </c>
      <c r="BH16" s="62" t="n">
        <f aca="false">INDEX(INPUT!$B$112:$F$112,1,BH$4+1)</f>
        <v>1</v>
      </c>
      <c r="BI16" s="62" t="n">
        <f aca="false">INDEX(INPUT!$B$112:$F$112,1,BI$4+1)</f>
        <v>1</v>
      </c>
    </row>
    <row r="17" customFormat="false" ht="15" hidden="false" customHeight="true" outlineLevel="0" collapsed="false">
      <c r="A17" s="11" t="s">
        <v>398</v>
      </c>
      <c r="B17" s="61" t="n">
        <f aca="false">INDEX(INPUT!$B$117:$F$117,1,B$4+1)</f>
        <v>0.12</v>
      </c>
      <c r="C17" s="61" t="n">
        <f aca="false">INDEX(INPUT!$B$117:$F$117,1,C$4+1)</f>
        <v>0.12</v>
      </c>
      <c r="D17" s="61" t="n">
        <f aca="false">INDEX(INPUT!$B$117:$F$117,1,D$4+1)</f>
        <v>0.12</v>
      </c>
      <c r="E17" s="61" t="n">
        <f aca="false">INDEX(INPUT!$B$117:$F$117,1,E$4+1)</f>
        <v>0.12</v>
      </c>
      <c r="F17" s="61" t="n">
        <f aca="false">INDEX(INPUT!$B$117:$F$117,1,F$4+1)</f>
        <v>0.12</v>
      </c>
      <c r="G17" s="61" t="n">
        <f aca="false">INDEX(INPUT!$B$117:$F$117,1,G$4+1)</f>
        <v>0.12</v>
      </c>
      <c r="H17" s="61" t="n">
        <f aca="false">INDEX(INPUT!$B$117:$F$117,1,H$4+1)</f>
        <v>0.12</v>
      </c>
      <c r="I17" s="61" t="n">
        <f aca="false">INDEX(INPUT!$B$117:$F$117,1,I$4+1)</f>
        <v>0.12</v>
      </c>
      <c r="J17" s="61" t="n">
        <f aca="false">INDEX(INPUT!$B$117:$F$117,1,J$4+1)</f>
        <v>0.12</v>
      </c>
      <c r="K17" s="61" t="n">
        <f aca="false">INDEX(INPUT!$B$117:$F$117,1,K$4+1)</f>
        <v>0.12</v>
      </c>
      <c r="L17" s="61" t="n">
        <f aca="false">INDEX(INPUT!$B$117:$F$117,1,L$4+1)</f>
        <v>0.12</v>
      </c>
      <c r="M17" s="61" t="n">
        <f aca="false">INDEX(INPUT!$B$117:$F$117,1,M$4+1)</f>
        <v>0.12</v>
      </c>
      <c r="N17" s="61" t="n">
        <f aca="false">INDEX(INPUT!$B$117:$F$117,1,N$4+1)</f>
        <v>0.12</v>
      </c>
      <c r="O17" s="61" t="n">
        <f aca="false">INDEX(INPUT!$B$117:$F$117,1,O$4+1)</f>
        <v>0.12</v>
      </c>
      <c r="P17" s="61" t="n">
        <f aca="false">INDEX(INPUT!$B$117:$F$117,1,P$4+1)</f>
        <v>0.12</v>
      </c>
      <c r="Q17" s="61" t="n">
        <f aca="false">INDEX(INPUT!$B$117:$F$117,1,Q$4+1)</f>
        <v>0.12</v>
      </c>
      <c r="R17" s="61" t="n">
        <f aca="false">INDEX(INPUT!$B$117:$F$117,1,R$4+1)</f>
        <v>0.12</v>
      </c>
      <c r="S17" s="61" t="n">
        <f aca="false">INDEX(INPUT!$B$117:$F$117,1,S$4+1)</f>
        <v>0.12</v>
      </c>
      <c r="T17" s="61" t="n">
        <f aca="false">INDEX(INPUT!$B$117:$F$117,1,T$4+1)</f>
        <v>0.12</v>
      </c>
      <c r="U17" s="61" t="n">
        <f aca="false">INDEX(INPUT!$B$117:$F$117,1,U$4+1)</f>
        <v>0.12</v>
      </c>
      <c r="V17" s="61" t="n">
        <f aca="false">INDEX(INPUT!$B$117:$F$117,1,V$4+1)</f>
        <v>0.12</v>
      </c>
      <c r="W17" s="61" t="n">
        <f aca="false">INDEX(INPUT!$B$117:$F$117,1,W$4+1)</f>
        <v>0.12</v>
      </c>
      <c r="X17" s="61" t="n">
        <f aca="false">INDEX(INPUT!$B$117:$F$117,1,X$4+1)</f>
        <v>0.12</v>
      </c>
      <c r="Y17" s="61" t="n">
        <f aca="false">INDEX(INPUT!$B$117:$F$117,1,Y$4+1)</f>
        <v>0.12</v>
      </c>
      <c r="Z17" s="61" t="n">
        <f aca="false">INDEX(INPUT!$B$117:$F$117,1,Z$4+1)</f>
        <v>0.12</v>
      </c>
      <c r="AA17" s="61" t="n">
        <f aca="false">INDEX(INPUT!$B$117:$F$117,1,AA$4+1)</f>
        <v>0.12</v>
      </c>
      <c r="AB17" s="61" t="n">
        <f aca="false">INDEX(INPUT!$B$117:$F$117,1,AB$4+1)</f>
        <v>0.12</v>
      </c>
      <c r="AC17" s="61" t="n">
        <f aca="false">INDEX(INPUT!$B$117:$F$117,1,AC$4+1)</f>
        <v>0.12</v>
      </c>
      <c r="AD17" s="61" t="n">
        <f aca="false">INDEX(INPUT!$B$117:$F$117,1,AD$4+1)</f>
        <v>0.12</v>
      </c>
      <c r="AE17" s="61" t="n">
        <f aca="false">INDEX(INPUT!$B$117:$F$117,1,AE$4+1)</f>
        <v>0.12</v>
      </c>
      <c r="AF17" s="61" t="n">
        <f aca="false">INDEX(INPUT!$B$117:$F$117,1,AF$4+1)</f>
        <v>0.12</v>
      </c>
      <c r="AG17" s="61" t="n">
        <f aca="false">INDEX(INPUT!$B$117:$F$117,1,AG$4+1)</f>
        <v>0.12</v>
      </c>
      <c r="AH17" s="61" t="n">
        <f aca="false">INDEX(INPUT!$B$117:$F$117,1,AH$4+1)</f>
        <v>0.12</v>
      </c>
      <c r="AI17" s="61" t="n">
        <f aca="false">INDEX(INPUT!$B$117:$F$117,1,AI$4+1)</f>
        <v>0.12</v>
      </c>
      <c r="AJ17" s="61" t="n">
        <f aca="false">INDEX(INPUT!$B$117:$F$117,1,AJ$4+1)</f>
        <v>0.12</v>
      </c>
      <c r="AK17" s="61" t="n">
        <f aca="false">INDEX(INPUT!$B$117:$F$117,1,AK$4+1)</f>
        <v>0.12</v>
      </c>
      <c r="AL17" s="61" t="n">
        <f aca="false">INDEX(INPUT!$B$117:$F$117,1,AL$4+1)</f>
        <v>0.12</v>
      </c>
      <c r="AM17" s="61" t="n">
        <f aca="false">INDEX(INPUT!$B$117:$F$117,1,AM$4+1)</f>
        <v>0.12</v>
      </c>
      <c r="AN17" s="61" t="n">
        <f aca="false">INDEX(INPUT!$B$117:$F$117,1,AN$4+1)</f>
        <v>0.12</v>
      </c>
      <c r="AO17" s="61" t="n">
        <f aca="false">INDEX(INPUT!$B$117:$F$117,1,AO$4+1)</f>
        <v>0.12</v>
      </c>
      <c r="AP17" s="61" t="n">
        <f aca="false">INDEX(INPUT!$B$117:$F$117,1,AP$4+1)</f>
        <v>0.12</v>
      </c>
      <c r="AQ17" s="61" t="n">
        <f aca="false">INDEX(INPUT!$B$117:$F$117,1,AQ$4+1)</f>
        <v>0.12</v>
      </c>
      <c r="AR17" s="61" t="n">
        <f aca="false">INDEX(INPUT!$B$117:$F$117,1,AR$4+1)</f>
        <v>0.12</v>
      </c>
      <c r="AS17" s="61" t="n">
        <f aca="false">INDEX(INPUT!$B$117:$F$117,1,AS$4+1)</f>
        <v>0.12</v>
      </c>
      <c r="AT17" s="61" t="n">
        <f aca="false">INDEX(INPUT!$B$117:$F$117,1,AT$4+1)</f>
        <v>0.12</v>
      </c>
      <c r="AU17" s="61" t="n">
        <f aca="false">INDEX(INPUT!$B$117:$F$117,1,AU$4+1)</f>
        <v>0.12</v>
      </c>
      <c r="AV17" s="61" t="n">
        <f aca="false">INDEX(INPUT!$B$117:$F$117,1,AV$4+1)</f>
        <v>0.12</v>
      </c>
      <c r="AW17" s="61" t="n">
        <f aca="false">INDEX(INPUT!$B$117:$F$117,1,AW$4+1)</f>
        <v>0.12</v>
      </c>
      <c r="AX17" s="61" t="n">
        <f aca="false">INDEX(INPUT!$B$117:$F$117,1,AX$4+1)</f>
        <v>0.12</v>
      </c>
      <c r="AY17" s="61" t="n">
        <f aca="false">INDEX(INPUT!$B$117:$F$117,1,AY$4+1)</f>
        <v>0.12</v>
      </c>
      <c r="AZ17" s="61" t="n">
        <f aca="false">INDEX(INPUT!$B$117:$F$117,1,AZ$4+1)</f>
        <v>0.12</v>
      </c>
      <c r="BA17" s="61" t="n">
        <f aca="false">INDEX(INPUT!$B$117:$F$117,1,BA$4+1)</f>
        <v>0.12</v>
      </c>
      <c r="BB17" s="61" t="n">
        <f aca="false">INDEX(INPUT!$B$117:$F$117,1,BB$4+1)</f>
        <v>0.12</v>
      </c>
      <c r="BC17" s="61" t="n">
        <f aca="false">INDEX(INPUT!$B$117:$F$117,1,BC$4+1)</f>
        <v>0.12</v>
      </c>
      <c r="BD17" s="61" t="n">
        <f aca="false">INDEX(INPUT!$B$117:$F$117,1,BD$4+1)</f>
        <v>0.12</v>
      </c>
      <c r="BE17" s="61" t="n">
        <f aca="false">INDEX(INPUT!$B$117:$F$117,1,BE$4+1)</f>
        <v>0.12</v>
      </c>
      <c r="BF17" s="61" t="n">
        <f aca="false">INDEX(INPUT!$B$117:$F$117,1,BF$4+1)</f>
        <v>0.12</v>
      </c>
      <c r="BG17" s="61" t="n">
        <f aca="false">INDEX(INPUT!$B$117:$F$117,1,BG$4+1)</f>
        <v>0.12</v>
      </c>
      <c r="BH17" s="61" t="n">
        <f aca="false">INDEX(INPUT!$B$117:$F$117,1,BH$4+1)</f>
        <v>0.12</v>
      </c>
      <c r="BI17" s="61" t="n">
        <f aca="false">INDEX(INPUT!$B$117:$F$117,1,BI$4+1)</f>
        <v>0.12</v>
      </c>
    </row>
    <row r="18" customFormat="false" ht="15" hidden="false" customHeight="true" outlineLevel="0" collapsed="false">
      <c r="A18" s="11" t="s">
        <v>399</v>
      </c>
      <c r="B18" s="62" t="n">
        <f aca="false">INDEX(INPUT!$B$21:$F$21,1,B$4+1)</f>
        <v>13</v>
      </c>
      <c r="C18" s="62" t="n">
        <f aca="false">INDEX(INPUT!$B$21:$F$21,1,C$4+1)</f>
        <v>13</v>
      </c>
      <c r="D18" s="62" t="n">
        <f aca="false">INDEX(INPUT!$B$21:$F$21,1,D$4+1)</f>
        <v>13</v>
      </c>
      <c r="E18" s="62" t="n">
        <f aca="false">INDEX(INPUT!$B$21:$F$21,1,E$4+1)</f>
        <v>13</v>
      </c>
      <c r="F18" s="62" t="n">
        <f aca="false">INDEX(INPUT!$B$21:$F$21,1,F$4+1)</f>
        <v>13</v>
      </c>
      <c r="G18" s="62" t="n">
        <f aca="false">INDEX(INPUT!$B$21:$F$21,1,G$4+1)</f>
        <v>13</v>
      </c>
      <c r="H18" s="62" t="n">
        <f aca="false">INDEX(INPUT!$B$21:$F$21,1,H$4+1)</f>
        <v>13</v>
      </c>
      <c r="I18" s="62" t="n">
        <f aca="false">INDEX(INPUT!$B$21:$F$21,1,I$4+1)</f>
        <v>13</v>
      </c>
      <c r="J18" s="62" t="n">
        <f aca="false">INDEX(INPUT!$B$21:$F$21,1,J$4+1)</f>
        <v>13</v>
      </c>
      <c r="K18" s="62" t="n">
        <f aca="false">INDEX(INPUT!$B$21:$F$21,1,K$4+1)</f>
        <v>13</v>
      </c>
      <c r="L18" s="62" t="n">
        <f aca="false">INDEX(INPUT!$B$21:$F$21,1,L$4+1)</f>
        <v>13</v>
      </c>
      <c r="M18" s="62" t="n">
        <f aca="false">INDEX(INPUT!$B$21:$F$21,1,M$4+1)</f>
        <v>13</v>
      </c>
      <c r="N18" s="62" t="n">
        <f aca="false">INDEX(INPUT!$B$21:$F$21,1,N$4+1)</f>
        <v>11.5</v>
      </c>
      <c r="O18" s="62" t="n">
        <f aca="false">INDEX(INPUT!$B$21:$F$21,1,O$4+1)</f>
        <v>11.5</v>
      </c>
      <c r="P18" s="62" t="n">
        <f aca="false">INDEX(INPUT!$B$21:$F$21,1,P$4+1)</f>
        <v>11.5</v>
      </c>
      <c r="Q18" s="62" t="n">
        <f aca="false">INDEX(INPUT!$B$21:$F$21,1,Q$4+1)</f>
        <v>11.5</v>
      </c>
      <c r="R18" s="62" t="n">
        <f aca="false">INDEX(INPUT!$B$21:$F$21,1,R$4+1)</f>
        <v>11.5</v>
      </c>
      <c r="S18" s="62" t="n">
        <f aca="false">INDEX(INPUT!$B$21:$F$21,1,S$4+1)</f>
        <v>11.5</v>
      </c>
      <c r="T18" s="62" t="n">
        <f aca="false">INDEX(INPUT!$B$21:$F$21,1,T$4+1)</f>
        <v>11.5</v>
      </c>
      <c r="U18" s="62" t="n">
        <f aca="false">INDEX(INPUT!$B$21:$F$21,1,U$4+1)</f>
        <v>11.5</v>
      </c>
      <c r="V18" s="62" t="n">
        <f aca="false">INDEX(INPUT!$B$21:$F$21,1,V$4+1)</f>
        <v>11.5</v>
      </c>
      <c r="W18" s="62" t="n">
        <f aca="false">INDEX(INPUT!$B$21:$F$21,1,W$4+1)</f>
        <v>11.5</v>
      </c>
      <c r="X18" s="62" t="n">
        <f aca="false">INDEX(INPUT!$B$21:$F$21,1,X$4+1)</f>
        <v>11.5</v>
      </c>
      <c r="Y18" s="62" t="n">
        <f aca="false">INDEX(INPUT!$B$21:$F$21,1,Y$4+1)</f>
        <v>11.5</v>
      </c>
      <c r="Z18" s="62" t="n">
        <f aca="false">INDEX(INPUT!$B$21:$F$21,1,Z$4+1)</f>
        <v>10.5</v>
      </c>
      <c r="AA18" s="62" t="n">
        <f aca="false">INDEX(INPUT!$B$21:$F$21,1,AA$4+1)</f>
        <v>10.5</v>
      </c>
      <c r="AB18" s="62" t="n">
        <f aca="false">INDEX(INPUT!$B$21:$F$21,1,AB$4+1)</f>
        <v>10.5</v>
      </c>
      <c r="AC18" s="62" t="n">
        <f aca="false">INDEX(INPUT!$B$21:$F$21,1,AC$4+1)</f>
        <v>10.5</v>
      </c>
      <c r="AD18" s="62" t="n">
        <f aca="false">INDEX(INPUT!$B$21:$F$21,1,AD$4+1)</f>
        <v>10.5</v>
      </c>
      <c r="AE18" s="62" t="n">
        <f aca="false">INDEX(INPUT!$B$21:$F$21,1,AE$4+1)</f>
        <v>10.5</v>
      </c>
      <c r="AF18" s="62" t="n">
        <f aca="false">INDEX(INPUT!$B$21:$F$21,1,AF$4+1)</f>
        <v>10.5</v>
      </c>
      <c r="AG18" s="62" t="n">
        <f aca="false">INDEX(INPUT!$B$21:$F$21,1,AG$4+1)</f>
        <v>10.5</v>
      </c>
      <c r="AH18" s="62" t="n">
        <f aca="false">INDEX(INPUT!$B$21:$F$21,1,AH$4+1)</f>
        <v>10.5</v>
      </c>
      <c r="AI18" s="62" t="n">
        <f aca="false">INDEX(INPUT!$B$21:$F$21,1,AI$4+1)</f>
        <v>10.5</v>
      </c>
      <c r="AJ18" s="62" t="n">
        <f aca="false">INDEX(INPUT!$B$21:$F$21,1,AJ$4+1)</f>
        <v>10.5</v>
      </c>
      <c r="AK18" s="62" t="n">
        <f aca="false">INDEX(INPUT!$B$21:$F$21,1,AK$4+1)</f>
        <v>10.5</v>
      </c>
      <c r="AL18" s="62" t="n">
        <f aca="false">INDEX(INPUT!$B$21:$F$21,1,AL$4+1)</f>
        <v>10.5</v>
      </c>
      <c r="AM18" s="62" t="n">
        <f aca="false">INDEX(INPUT!$B$21:$F$21,1,AM$4+1)</f>
        <v>10.5</v>
      </c>
      <c r="AN18" s="62" t="n">
        <f aca="false">INDEX(INPUT!$B$21:$F$21,1,AN$4+1)</f>
        <v>10.5</v>
      </c>
      <c r="AO18" s="62" t="n">
        <f aca="false">INDEX(INPUT!$B$21:$F$21,1,AO$4+1)</f>
        <v>10.5</v>
      </c>
      <c r="AP18" s="62" t="n">
        <f aca="false">INDEX(INPUT!$B$21:$F$21,1,AP$4+1)</f>
        <v>10.5</v>
      </c>
      <c r="AQ18" s="62" t="n">
        <f aca="false">INDEX(INPUT!$B$21:$F$21,1,AQ$4+1)</f>
        <v>10.5</v>
      </c>
      <c r="AR18" s="62" t="n">
        <f aca="false">INDEX(INPUT!$B$21:$F$21,1,AR$4+1)</f>
        <v>10.5</v>
      </c>
      <c r="AS18" s="62" t="n">
        <f aca="false">INDEX(INPUT!$B$21:$F$21,1,AS$4+1)</f>
        <v>10.5</v>
      </c>
      <c r="AT18" s="62" t="n">
        <f aca="false">INDEX(INPUT!$B$21:$F$21,1,AT$4+1)</f>
        <v>10.5</v>
      </c>
      <c r="AU18" s="62" t="n">
        <f aca="false">INDEX(INPUT!$B$21:$F$21,1,AU$4+1)</f>
        <v>10.5</v>
      </c>
      <c r="AV18" s="62" t="n">
        <f aca="false">INDEX(INPUT!$B$21:$F$21,1,AV$4+1)</f>
        <v>10.5</v>
      </c>
      <c r="AW18" s="62" t="n">
        <f aca="false">INDEX(INPUT!$B$21:$F$21,1,AW$4+1)</f>
        <v>10.5</v>
      </c>
      <c r="AX18" s="62" t="n">
        <f aca="false">INDEX(INPUT!$B$21:$F$21,1,AX$4+1)</f>
        <v>10.5</v>
      </c>
      <c r="AY18" s="62" t="n">
        <f aca="false">INDEX(INPUT!$B$21:$F$21,1,AY$4+1)</f>
        <v>10.5</v>
      </c>
      <c r="AZ18" s="62" t="n">
        <f aca="false">INDEX(INPUT!$B$21:$F$21,1,AZ$4+1)</f>
        <v>10.5</v>
      </c>
      <c r="BA18" s="62" t="n">
        <f aca="false">INDEX(INPUT!$B$21:$F$21,1,BA$4+1)</f>
        <v>10.5</v>
      </c>
      <c r="BB18" s="62" t="n">
        <f aca="false">INDEX(INPUT!$B$21:$F$21,1,BB$4+1)</f>
        <v>10.5</v>
      </c>
      <c r="BC18" s="62" t="n">
        <f aca="false">INDEX(INPUT!$B$21:$F$21,1,BC$4+1)</f>
        <v>10.5</v>
      </c>
      <c r="BD18" s="62" t="n">
        <f aca="false">INDEX(INPUT!$B$21:$F$21,1,BD$4+1)</f>
        <v>10.5</v>
      </c>
      <c r="BE18" s="62" t="n">
        <f aca="false">INDEX(INPUT!$B$21:$F$21,1,BE$4+1)</f>
        <v>10.5</v>
      </c>
      <c r="BF18" s="62" t="n">
        <f aca="false">INDEX(INPUT!$B$21:$F$21,1,BF$4+1)</f>
        <v>10.5</v>
      </c>
      <c r="BG18" s="62" t="n">
        <f aca="false">INDEX(INPUT!$B$21:$F$21,1,BG$4+1)</f>
        <v>10.5</v>
      </c>
      <c r="BH18" s="62" t="n">
        <f aca="false">INDEX(INPUT!$B$21:$F$21,1,BH$4+1)</f>
        <v>10.5</v>
      </c>
      <c r="BI18" s="62" t="n">
        <f aca="false">INDEX(INPUT!$B$21:$F$21,1,BI$4+1)</f>
        <v>10.5</v>
      </c>
    </row>
    <row r="19" customFormat="false" ht="15" hidden="false" customHeight="true" outlineLevel="0" collapsed="false">
      <c r="A19" s="11" t="s">
        <v>400</v>
      </c>
      <c r="B19" s="61" t="n">
        <f aca="false">INDEX(INPUT!$B$44:$F$44,1,B$4+1)</f>
        <v>0.35</v>
      </c>
      <c r="C19" s="61" t="n">
        <f aca="false">INDEX(INPUT!$B$44:$F$44,1,C$4+1)</f>
        <v>0.35</v>
      </c>
      <c r="D19" s="61" t="n">
        <f aca="false">INDEX(INPUT!$B$44:$F$44,1,D$4+1)</f>
        <v>0.35</v>
      </c>
      <c r="E19" s="61" t="n">
        <f aca="false">INDEX(INPUT!$B$44:$F$44,1,E$4+1)</f>
        <v>0.35</v>
      </c>
      <c r="F19" s="61" t="n">
        <f aca="false">INDEX(INPUT!$B$44:$F$44,1,F$4+1)</f>
        <v>0.35</v>
      </c>
      <c r="G19" s="61" t="n">
        <f aca="false">INDEX(INPUT!$B$44:$F$44,1,G$4+1)</f>
        <v>0.35</v>
      </c>
      <c r="H19" s="61" t="n">
        <f aca="false">INDEX(INPUT!$B$44:$F$44,1,H$4+1)</f>
        <v>0.35</v>
      </c>
      <c r="I19" s="61" t="n">
        <f aca="false">INDEX(INPUT!$B$44:$F$44,1,I$4+1)</f>
        <v>0.35</v>
      </c>
      <c r="J19" s="61" t="n">
        <f aca="false">INDEX(INPUT!$B$44:$F$44,1,J$4+1)</f>
        <v>0.35</v>
      </c>
      <c r="K19" s="61" t="n">
        <f aca="false">INDEX(INPUT!$B$44:$F$44,1,K$4+1)</f>
        <v>0.35</v>
      </c>
      <c r="L19" s="61" t="n">
        <f aca="false">INDEX(INPUT!$B$44:$F$44,1,L$4+1)</f>
        <v>0.35</v>
      </c>
      <c r="M19" s="61" t="n">
        <f aca="false">INDEX(INPUT!$B$44:$F$44,1,M$4+1)</f>
        <v>0.35</v>
      </c>
      <c r="N19" s="61" t="n">
        <f aca="false">INDEX(INPUT!$B$44:$F$44,1,N$4+1)</f>
        <v>0.4</v>
      </c>
      <c r="O19" s="61" t="n">
        <f aca="false">INDEX(INPUT!$B$44:$F$44,1,O$4+1)</f>
        <v>0.4</v>
      </c>
      <c r="P19" s="61" t="n">
        <f aca="false">INDEX(INPUT!$B$44:$F$44,1,P$4+1)</f>
        <v>0.4</v>
      </c>
      <c r="Q19" s="61" t="n">
        <f aca="false">INDEX(INPUT!$B$44:$F$44,1,Q$4+1)</f>
        <v>0.4</v>
      </c>
      <c r="R19" s="61" t="n">
        <f aca="false">INDEX(INPUT!$B$44:$F$44,1,R$4+1)</f>
        <v>0.4</v>
      </c>
      <c r="S19" s="61" t="n">
        <f aca="false">INDEX(INPUT!$B$44:$F$44,1,S$4+1)</f>
        <v>0.4</v>
      </c>
      <c r="T19" s="61" t="n">
        <f aca="false">INDEX(INPUT!$B$44:$F$44,1,T$4+1)</f>
        <v>0.4</v>
      </c>
      <c r="U19" s="61" t="n">
        <f aca="false">INDEX(INPUT!$B$44:$F$44,1,U$4+1)</f>
        <v>0.4</v>
      </c>
      <c r="V19" s="61" t="n">
        <f aca="false">INDEX(INPUT!$B$44:$F$44,1,V$4+1)</f>
        <v>0.4</v>
      </c>
      <c r="W19" s="61" t="n">
        <f aca="false">INDEX(INPUT!$B$44:$F$44,1,W$4+1)</f>
        <v>0.4</v>
      </c>
      <c r="X19" s="61" t="n">
        <f aca="false">INDEX(INPUT!$B$44:$F$44,1,X$4+1)</f>
        <v>0.4</v>
      </c>
      <c r="Y19" s="61" t="n">
        <f aca="false">INDEX(INPUT!$B$44:$F$44,1,Y$4+1)</f>
        <v>0.4</v>
      </c>
      <c r="Z19" s="61" t="n">
        <f aca="false">INDEX(INPUT!$B$44:$F$44,1,Z$4+1)</f>
        <v>0.5</v>
      </c>
      <c r="AA19" s="61" t="n">
        <f aca="false">INDEX(INPUT!$B$44:$F$44,1,AA$4+1)</f>
        <v>0.5</v>
      </c>
      <c r="AB19" s="61" t="n">
        <f aca="false">INDEX(INPUT!$B$44:$F$44,1,AB$4+1)</f>
        <v>0.5</v>
      </c>
      <c r="AC19" s="61" t="n">
        <f aca="false">INDEX(INPUT!$B$44:$F$44,1,AC$4+1)</f>
        <v>0.5</v>
      </c>
      <c r="AD19" s="61" t="n">
        <f aca="false">INDEX(INPUT!$B$44:$F$44,1,AD$4+1)</f>
        <v>0.5</v>
      </c>
      <c r="AE19" s="61" t="n">
        <f aca="false">INDEX(INPUT!$B$44:$F$44,1,AE$4+1)</f>
        <v>0.5</v>
      </c>
      <c r="AF19" s="61" t="n">
        <f aca="false">INDEX(INPUT!$B$44:$F$44,1,AF$4+1)</f>
        <v>0.5</v>
      </c>
      <c r="AG19" s="61" t="n">
        <f aca="false">INDEX(INPUT!$B$44:$F$44,1,AG$4+1)</f>
        <v>0.5</v>
      </c>
      <c r="AH19" s="61" t="n">
        <f aca="false">INDEX(INPUT!$B$44:$F$44,1,AH$4+1)</f>
        <v>0.5</v>
      </c>
      <c r="AI19" s="61" t="n">
        <f aca="false">INDEX(INPUT!$B$44:$F$44,1,AI$4+1)</f>
        <v>0.5</v>
      </c>
      <c r="AJ19" s="61" t="n">
        <f aca="false">INDEX(INPUT!$B$44:$F$44,1,AJ$4+1)</f>
        <v>0.5</v>
      </c>
      <c r="AK19" s="61" t="n">
        <f aca="false">INDEX(INPUT!$B$44:$F$44,1,AK$4+1)</f>
        <v>0.5</v>
      </c>
      <c r="AL19" s="61" t="n">
        <f aca="false">INDEX(INPUT!$B$44:$F$44,1,AL$4+1)</f>
        <v>0.5</v>
      </c>
      <c r="AM19" s="61" t="n">
        <f aca="false">INDEX(INPUT!$B$44:$F$44,1,AM$4+1)</f>
        <v>0.5</v>
      </c>
      <c r="AN19" s="61" t="n">
        <f aca="false">INDEX(INPUT!$B$44:$F$44,1,AN$4+1)</f>
        <v>0.5</v>
      </c>
      <c r="AO19" s="61" t="n">
        <f aca="false">INDEX(INPUT!$B$44:$F$44,1,AO$4+1)</f>
        <v>0.5</v>
      </c>
      <c r="AP19" s="61" t="n">
        <f aca="false">INDEX(INPUT!$B$44:$F$44,1,AP$4+1)</f>
        <v>0.5</v>
      </c>
      <c r="AQ19" s="61" t="n">
        <f aca="false">INDEX(INPUT!$B$44:$F$44,1,AQ$4+1)</f>
        <v>0.5</v>
      </c>
      <c r="AR19" s="61" t="n">
        <f aca="false">INDEX(INPUT!$B$44:$F$44,1,AR$4+1)</f>
        <v>0.5</v>
      </c>
      <c r="AS19" s="61" t="n">
        <f aca="false">INDEX(INPUT!$B$44:$F$44,1,AS$4+1)</f>
        <v>0.5</v>
      </c>
      <c r="AT19" s="61" t="n">
        <f aca="false">INDEX(INPUT!$B$44:$F$44,1,AT$4+1)</f>
        <v>0.5</v>
      </c>
      <c r="AU19" s="61" t="n">
        <f aca="false">INDEX(INPUT!$B$44:$F$44,1,AU$4+1)</f>
        <v>0.5</v>
      </c>
      <c r="AV19" s="61" t="n">
        <f aca="false">INDEX(INPUT!$B$44:$F$44,1,AV$4+1)</f>
        <v>0.5</v>
      </c>
      <c r="AW19" s="61" t="n">
        <f aca="false">INDEX(INPUT!$B$44:$F$44,1,AW$4+1)</f>
        <v>0.5</v>
      </c>
      <c r="AX19" s="61" t="n">
        <f aca="false">INDEX(INPUT!$B$44:$F$44,1,AX$4+1)</f>
        <v>0.5</v>
      </c>
      <c r="AY19" s="61" t="n">
        <f aca="false">INDEX(INPUT!$B$44:$F$44,1,AY$4+1)</f>
        <v>0.5</v>
      </c>
      <c r="AZ19" s="61" t="n">
        <f aca="false">INDEX(INPUT!$B$44:$F$44,1,AZ$4+1)</f>
        <v>0.5</v>
      </c>
      <c r="BA19" s="61" t="n">
        <f aca="false">INDEX(INPUT!$B$44:$F$44,1,BA$4+1)</f>
        <v>0.5</v>
      </c>
      <c r="BB19" s="61" t="n">
        <f aca="false">INDEX(INPUT!$B$44:$F$44,1,BB$4+1)</f>
        <v>0.5</v>
      </c>
      <c r="BC19" s="61" t="n">
        <f aca="false">INDEX(INPUT!$B$44:$F$44,1,BC$4+1)</f>
        <v>0.5</v>
      </c>
      <c r="BD19" s="61" t="n">
        <f aca="false">INDEX(INPUT!$B$44:$F$44,1,BD$4+1)</f>
        <v>0.5</v>
      </c>
      <c r="BE19" s="61" t="n">
        <f aca="false">INDEX(INPUT!$B$44:$F$44,1,BE$4+1)</f>
        <v>0.5</v>
      </c>
      <c r="BF19" s="61" t="n">
        <f aca="false">INDEX(INPUT!$B$44:$F$44,1,BF$4+1)</f>
        <v>0.5</v>
      </c>
      <c r="BG19" s="61" t="n">
        <f aca="false">INDEX(INPUT!$B$44:$F$44,1,BG$4+1)</f>
        <v>0.5</v>
      </c>
      <c r="BH19" s="61" t="n">
        <f aca="false">INDEX(INPUT!$B$44:$F$44,1,BH$4+1)</f>
        <v>0.5</v>
      </c>
      <c r="BI19" s="61" t="n">
        <f aca="false">INDEX(INPUT!$B$44:$F$44,1,BI$4+1)</f>
        <v>0.5</v>
      </c>
    </row>
    <row r="20" customFormat="false" ht="15" hidden="false" customHeight="true" outlineLevel="0" collapsed="false">
      <c r="A20" s="11" t="s">
        <v>401</v>
      </c>
      <c r="B20" s="60" t="n">
        <f aca="false">INDEX(INPUT!$B$51:$F$51,1,B$4+1)</f>
        <v>1</v>
      </c>
      <c r="C20" s="60" t="n">
        <f aca="false">INDEX(INPUT!$B$51:$F$51,1,C$4+1)</f>
        <v>1</v>
      </c>
      <c r="D20" s="60" t="n">
        <f aca="false">INDEX(INPUT!$B$51:$F$51,1,D$4+1)</f>
        <v>1</v>
      </c>
      <c r="E20" s="60" t="n">
        <f aca="false">INDEX(INPUT!$B$51:$F$51,1,E$4+1)</f>
        <v>1</v>
      </c>
      <c r="F20" s="60" t="n">
        <f aca="false">INDEX(INPUT!$B$51:$F$51,1,F$4+1)</f>
        <v>1</v>
      </c>
      <c r="G20" s="60" t="n">
        <f aca="false">INDEX(INPUT!$B$51:$F$51,1,G$4+1)</f>
        <v>1</v>
      </c>
      <c r="H20" s="60" t="n">
        <f aca="false">INDEX(INPUT!$B$51:$F$51,1,H$4+1)</f>
        <v>1</v>
      </c>
      <c r="I20" s="60" t="n">
        <f aca="false">INDEX(INPUT!$B$51:$F$51,1,I$4+1)</f>
        <v>1</v>
      </c>
      <c r="J20" s="60" t="n">
        <f aca="false">INDEX(INPUT!$B$51:$F$51,1,J$4+1)</f>
        <v>1</v>
      </c>
      <c r="K20" s="60" t="n">
        <f aca="false">INDEX(INPUT!$B$51:$F$51,1,K$4+1)</f>
        <v>1</v>
      </c>
      <c r="L20" s="60" t="n">
        <f aca="false">INDEX(INPUT!$B$51:$F$51,1,L$4+1)</f>
        <v>1</v>
      </c>
      <c r="M20" s="60" t="n">
        <f aca="false">INDEX(INPUT!$B$51:$F$51,1,M$4+1)</f>
        <v>1</v>
      </c>
      <c r="N20" s="60" t="n">
        <f aca="false">INDEX(INPUT!$B$51:$F$51,1,N$4+1)</f>
        <v>2</v>
      </c>
      <c r="O20" s="60" t="n">
        <f aca="false">INDEX(INPUT!$B$51:$F$51,1,O$4+1)</f>
        <v>2</v>
      </c>
      <c r="P20" s="60" t="n">
        <f aca="false">INDEX(INPUT!$B$51:$F$51,1,P$4+1)</f>
        <v>2</v>
      </c>
      <c r="Q20" s="60" t="n">
        <f aca="false">INDEX(INPUT!$B$51:$F$51,1,Q$4+1)</f>
        <v>2</v>
      </c>
      <c r="R20" s="60" t="n">
        <f aca="false">INDEX(INPUT!$B$51:$F$51,1,R$4+1)</f>
        <v>2</v>
      </c>
      <c r="S20" s="60" t="n">
        <f aca="false">INDEX(INPUT!$B$51:$F$51,1,S$4+1)</f>
        <v>2</v>
      </c>
      <c r="T20" s="60" t="n">
        <f aca="false">INDEX(INPUT!$B$51:$F$51,1,T$4+1)</f>
        <v>2</v>
      </c>
      <c r="U20" s="60" t="n">
        <f aca="false">INDEX(INPUT!$B$51:$F$51,1,U$4+1)</f>
        <v>2</v>
      </c>
      <c r="V20" s="60" t="n">
        <f aca="false">INDEX(INPUT!$B$51:$F$51,1,V$4+1)</f>
        <v>2</v>
      </c>
      <c r="W20" s="60" t="n">
        <f aca="false">INDEX(INPUT!$B$51:$F$51,1,W$4+1)</f>
        <v>2</v>
      </c>
      <c r="X20" s="60" t="n">
        <f aca="false">INDEX(INPUT!$B$51:$F$51,1,X$4+1)</f>
        <v>2</v>
      </c>
      <c r="Y20" s="60" t="n">
        <f aca="false">INDEX(INPUT!$B$51:$F$51,1,Y$4+1)</f>
        <v>2</v>
      </c>
      <c r="Z20" s="60" t="n">
        <f aca="false">INDEX(INPUT!$B$51:$F$51,1,Z$4+1)</f>
        <v>3</v>
      </c>
      <c r="AA20" s="60" t="n">
        <f aca="false">INDEX(INPUT!$B$51:$F$51,1,AA$4+1)</f>
        <v>3</v>
      </c>
      <c r="AB20" s="60" t="n">
        <f aca="false">INDEX(INPUT!$B$51:$F$51,1,AB$4+1)</f>
        <v>3</v>
      </c>
      <c r="AC20" s="60" t="n">
        <f aca="false">INDEX(INPUT!$B$51:$F$51,1,AC$4+1)</f>
        <v>3</v>
      </c>
      <c r="AD20" s="60" t="n">
        <f aca="false">INDEX(INPUT!$B$51:$F$51,1,AD$4+1)</f>
        <v>3</v>
      </c>
      <c r="AE20" s="60" t="n">
        <f aca="false">INDEX(INPUT!$B$51:$F$51,1,AE$4+1)</f>
        <v>3</v>
      </c>
      <c r="AF20" s="60" t="n">
        <f aca="false">INDEX(INPUT!$B$51:$F$51,1,AF$4+1)</f>
        <v>3</v>
      </c>
      <c r="AG20" s="60" t="n">
        <f aca="false">INDEX(INPUT!$B$51:$F$51,1,AG$4+1)</f>
        <v>3</v>
      </c>
      <c r="AH20" s="60" t="n">
        <f aca="false">INDEX(INPUT!$B$51:$F$51,1,AH$4+1)</f>
        <v>3</v>
      </c>
      <c r="AI20" s="60" t="n">
        <f aca="false">INDEX(INPUT!$B$51:$F$51,1,AI$4+1)</f>
        <v>3</v>
      </c>
      <c r="AJ20" s="60" t="n">
        <f aca="false">INDEX(INPUT!$B$51:$F$51,1,AJ$4+1)</f>
        <v>3</v>
      </c>
      <c r="AK20" s="60" t="n">
        <f aca="false">INDEX(INPUT!$B$51:$F$51,1,AK$4+1)</f>
        <v>3</v>
      </c>
      <c r="AL20" s="60" t="n">
        <f aca="false">INDEX(INPUT!$B$51:$F$51,1,AL$4+1)</f>
        <v>4</v>
      </c>
      <c r="AM20" s="60" t="n">
        <f aca="false">INDEX(INPUT!$B$51:$F$51,1,AM$4+1)</f>
        <v>4</v>
      </c>
      <c r="AN20" s="60" t="n">
        <f aca="false">INDEX(INPUT!$B$51:$F$51,1,AN$4+1)</f>
        <v>4</v>
      </c>
      <c r="AO20" s="60" t="n">
        <f aca="false">INDEX(INPUT!$B$51:$F$51,1,AO$4+1)</f>
        <v>4</v>
      </c>
      <c r="AP20" s="60" t="n">
        <f aca="false">INDEX(INPUT!$B$51:$F$51,1,AP$4+1)</f>
        <v>4</v>
      </c>
      <c r="AQ20" s="60" t="n">
        <f aca="false">INDEX(INPUT!$B$51:$F$51,1,AQ$4+1)</f>
        <v>4</v>
      </c>
      <c r="AR20" s="60" t="n">
        <f aca="false">INDEX(INPUT!$B$51:$F$51,1,AR$4+1)</f>
        <v>4</v>
      </c>
      <c r="AS20" s="60" t="n">
        <f aca="false">INDEX(INPUT!$B$51:$F$51,1,AS$4+1)</f>
        <v>4</v>
      </c>
      <c r="AT20" s="60" t="n">
        <f aca="false">INDEX(INPUT!$B$51:$F$51,1,AT$4+1)</f>
        <v>4</v>
      </c>
      <c r="AU20" s="60" t="n">
        <f aca="false">INDEX(INPUT!$B$51:$F$51,1,AU$4+1)</f>
        <v>4</v>
      </c>
      <c r="AV20" s="60" t="n">
        <f aca="false">INDEX(INPUT!$B$51:$F$51,1,AV$4+1)</f>
        <v>4</v>
      </c>
      <c r="AW20" s="60" t="n">
        <f aca="false">INDEX(INPUT!$B$51:$F$51,1,AW$4+1)</f>
        <v>4</v>
      </c>
      <c r="AX20" s="60" t="n">
        <f aca="false">INDEX(INPUT!$B$51:$F$51,1,AX$4+1)</f>
        <v>5</v>
      </c>
      <c r="AY20" s="60" t="n">
        <f aca="false">INDEX(INPUT!$B$51:$F$51,1,AY$4+1)</f>
        <v>5</v>
      </c>
      <c r="AZ20" s="60" t="n">
        <f aca="false">INDEX(INPUT!$B$51:$F$51,1,AZ$4+1)</f>
        <v>5</v>
      </c>
      <c r="BA20" s="60" t="n">
        <f aca="false">INDEX(INPUT!$B$51:$F$51,1,BA$4+1)</f>
        <v>5</v>
      </c>
      <c r="BB20" s="60" t="n">
        <f aca="false">INDEX(INPUT!$B$51:$F$51,1,BB$4+1)</f>
        <v>5</v>
      </c>
      <c r="BC20" s="60" t="n">
        <f aca="false">INDEX(INPUT!$B$51:$F$51,1,BC$4+1)</f>
        <v>5</v>
      </c>
      <c r="BD20" s="60" t="n">
        <f aca="false">INDEX(INPUT!$B$51:$F$51,1,BD$4+1)</f>
        <v>5</v>
      </c>
      <c r="BE20" s="60" t="n">
        <f aca="false">INDEX(INPUT!$B$51:$F$51,1,BE$4+1)</f>
        <v>5</v>
      </c>
      <c r="BF20" s="60" t="n">
        <f aca="false">INDEX(INPUT!$B$51:$F$51,1,BF$4+1)</f>
        <v>5</v>
      </c>
      <c r="BG20" s="60" t="n">
        <f aca="false">INDEX(INPUT!$B$51:$F$51,1,BG$4+1)</f>
        <v>5</v>
      </c>
      <c r="BH20" s="60" t="n">
        <f aca="false">INDEX(INPUT!$B$51:$F$51,1,BH$4+1)</f>
        <v>5</v>
      </c>
      <c r="BI20" s="60" t="n">
        <f aca="false">INDEX(INPUT!$B$51:$F$51,1,BI$4+1)</f>
        <v>5</v>
      </c>
    </row>
    <row r="21" customFormat="false" ht="15" hidden="false" customHeight="true" outlineLevel="0" collapsed="false">
      <c r="A21" s="7" t="s">
        <v>402</v>
      </c>
      <c r="B21" s="8"/>
      <c r="C21" s="8"/>
      <c r="D21" s="8"/>
      <c r="E21" s="8"/>
      <c r="F21" s="8"/>
      <c r="G21" s="8"/>
    </row>
    <row r="22" customFormat="false" ht="15" hidden="false" customHeight="true" outlineLevel="0" collapsed="false">
      <c r="A22" s="11" t="s">
        <v>403</v>
      </c>
      <c r="B22" s="12" t="n">
        <f aca="false">B8/B11/(1-B12)</f>
        <v>153.846153846154</v>
      </c>
      <c r="C22" s="12" t="n">
        <f aca="false">C8/C11/(1-C12)</f>
        <v>153.846153846154</v>
      </c>
      <c r="D22" s="12" t="n">
        <f aca="false">D8/D11/(1-D12)</f>
        <v>153.846153846154</v>
      </c>
      <c r="E22" s="12" t="n">
        <f aca="false">E8/E11/(1-E12)</f>
        <v>153.846153846154</v>
      </c>
      <c r="F22" s="12" t="n">
        <f aca="false">F8/F11/(1-F12)</f>
        <v>153.846153846154</v>
      </c>
      <c r="G22" s="12" t="n">
        <f aca="false">G8/G11/(1-G12)</f>
        <v>153.846153846154</v>
      </c>
      <c r="H22" s="12" t="n">
        <f aca="false">H8/H11/(1-H12)</f>
        <v>153.846153846154</v>
      </c>
      <c r="I22" s="12" t="n">
        <f aca="false">I8/I11/(1-I12)</f>
        <v>153.846153846154</v>
      </c>
      <c r="J22" s="12" t="n">
        <f aca="false">J8/J11/(1-J12)</f>
        <v>153.846153846154</v>
      </c>
      <c r="K22" s="12" t="n">
        <f aca="false">K8/K11/(1-K12)</f>
        <v>153.846153846154</v>
      </c>
      <c r="L22" s="12" t="n">
        <f aca="false">L8/L11/(1-L12)</f>
        <v>153.846153846154</v>
      </c>
      <c r="M22" s="12" t="n">
        <f aca="false">M8/M11/(1-M12)</f>
        <v>153.846153846154</v>
      </c>
      <c r="N22" s="12" t="n">
        <f aca="false">N8/N11/(1-N12)</f>
        <v>357.142857142857</v>
      </c>
      <c r="O22" s="12" t="n">
        <f aca="false">O8/O11/(1-O12)</f>
        <v>357.142857142857</v>
      </c>
      <c r="P22" s="12" t="n">
        <f aca="false">P8/P11/(1-P12)</f>
        <v>357.142857142857</v>
      </c>
      <c r="Q22" s="12" t="n">
        <f aca="false">Q8/Q11/(1-Q12)</f>
        <v>357.142857142857</v>
      </c>
      <c r="R22" s="12" t="n">
        <f aca="false">R8/R11/(1-R12)</f>
        <v>357.142857142857</v>
      </c>
      <c r="S22" s="12" t="n">
        <f aca="false">S8/S11/(1-S12)</f>
        <v>357.142857142857</v>
      </c>
      <c r="T22" s="12" t="n">
        <f aca="false">T8/T11/(1-T12)</f>
        <v>357.142857142857</v>
      </c>
      <c r="U22" s="12" t="n">
        <f aca="false">U8/U11/(1-U12)</f>
        <v>357.142857142857</v>
      </c>
      <c r="V22" s="12" t="n">
        <f aca="false">V8/V11/(1-V12)</f>
        <v>357.142857142857</v>
      </c>
      <c r="W22" s="12" t="n">
        <f aca="false">W8/W11/(1-W12)</f>
        <v>357.142857142857</v>
      </c>
      <c r="X22" s="12" t="n">
        <f aca="false">X8/X11/(1-X12)</f>
        <v>357.142857142857</v>
      </c>
      <c r="Y22" s="12" t="n">
        <f aca="false">Y8/Y11/(1-Y12)</f>
        <v>357.142857142857</v>
      </c>
      <c r="Z22" s="12" t="n">
        <f aca="false">Z8/Z11/(1-Z12)</f>
        <v>555.555555555556</v>
      </c>
      <c r="AA22" s="12" t="n">
        <f aca="false">AA8/AA11/(1-AA12)</f>
        <v>555.555555555556</v>
      </c>
      <c r="AB22" s="12" t="n">
        <f aca="false">AB8/AB11/(1-AB12)</f>
        <v>555.555555555556</v>
      </c>
      <c r="AC22" s="12" t="n">
        <f aca="false">AC8/AC11/(1-AC12)</f>
        <v>555.555555555556</v>
      </c>
      <c r="AD22" s="12" t="n">
        <f aca="false">AD8/AD11/(1-AD12)</f>
        <v>555.555555555556</v>
      </c>
      <c r="AE22" s="12" t="n">
        <f aca="false">AE8/AE11/(1-AE12)</f>
        <v>555.555555555556</v>
      </c>
      <c r="AF22" s="12" t="n">
        <f aca="false">AF8/AF11/(1-AF12)</f>
        <v>555.555555555556</v>
      </c>
      <c r="AG22" s="12" t="n">
        <f aca="false">AG8/AG11/(1-AG12)</f>
        <v>555.555555555556</v>
      </c>
      <c r="AH22" s="12" t="n">
        <f aca="false">AH8/AH11/(1-AH12)</f>
        <v>555.555555555556</v>
      </c>
      <c r="AI22" s="12" t="n">
        <f aca="false">AI8/AI11/(1-AI12)</f>
        <v>555.555555555556</v>
      </c>
      <c r="AJ22" s="12" t="n">
        <f aca="false">AJ8/AJ11/(1-AJ12)</f>
        <v>555.555555555556</v>
      </c>
      <c r="AK22" s="12" t="n">
        <f aca="false">AK8/AK11/(1-AK12)</f>
        <v>555.555555555556</v>
      </c>
      <c r="AL22" s="12" t="n">
        <f aca="false">AL8/AL11/(1-AL12)</f>
        <v>854.700854700855</v>
      </c>
      <c r="AM22" s="12" t="n">
        <f aca="false">AM8/AM11/(1-AM12)</f>
        <v>854.700854700855</v>
      </c>
      <c r="AN22" s="12" t="n">
        <f aca="false">AN8/AN11/(1-AN12)</f>
        <v>854.700854700855</v>
      </c>
      <c r="AO22" s="12" t="n">
        <f aca="false">AO8/AO11/(1-AO12)</f>
        <v>854.700854700855</v>
      </c>
      <c r="AP22" s="12" t="n">
        <f aca="false">AP8/AP11/(1-AP12)</f>
        <v>854.700854700855</v>
      </c>
      <c r="AQ22" s="12" t="n">
        <f aca="false">AQ8/AQ11/(1-AQ12)</f>
        <v>854.700854700855</v>
      </c>
      <c r="AR22" s="12" t="n">
        <f aca="false">AR8/AR11/(1-AR12)</f>
        <v>854.700854700855</v>
      </c>
      <c r="AS22" s="12" t="n">
        <f aca="false">AS8/AS11/(1-AS12)</f>
        <v>854.700854700855</v>
      </c>
      <c r="AT22" s="12" t="n">
        <f aca="false">AT8/AT11/(1-AT12)</f>
        <v>854.700854700855</v>
      </c>
      <c r="AU22" s="12" t="n">
        <f aca="false">AU8/AU11/(1-AU12)</f>
        <v>854.700854700855</v>
      </c>
      <c r="AV22" s="12" t="n">
        <f aca="false">AV8/AV11/(1-AV12)</f>
        <v>854.700854700855</v>
      </c>
      <c r="AW22" s="12" t="n">
        <f aca="false">AW8/AW11/(1-AW12)</f>
        <v>854.700854700855</v>
      </c>
      <c r="AX22" s="12" t="n">
        <f aca="false">AX8/AX11/(1-AX12)</f>
        <v>1145.83333333333</v>
      </c>
      <c r="AY22" s="12" t="n">
        <f aca="false">AY8/AY11/(1-AY12)</f>
        <v>1145.83333333333</v>
      </c>
      <c r="AZ22" s="12" t="n">
        <f aca="false">AZ8/AZ11/(1-AZ12)</f>
        <v>1145.83333333333</v>
      </c>
      <c r="BA22" s="12" t="n">
        <f aca="false">BA8/BA11/(1-BA12)</f>
        <v>1145.83333333333</v>
      </c>
      <c r="BB22" s="12" t="n">
        <f aca="false">BB8/BB11/(1-BB12)</f>
        <v>1145.83333333333</v>
      </c>
      <c r="BC22" s="12" t="n">
        <f aca="false">BC8/BC11/(1-BC12)</f>
        <v>1145.83333333333</v>
      </c>
      <c r="BD22" s="12" t="n">
        <f aca="false">BD8/BD11/(1-BD12)</f>
        <v>1145.83333333333</v>
      </c>
      <c r="BE22" s="12" t="n">
        <f aca="false">BE8/BE11/(1-BE12)</f>
        <v>1145.83333333333</v>
      </c>
      <c r="BF22" s="12" t="n">
        <f aca="false">BF8/BF11/(1-BF12)</f>
        <v>1145.83333333333</v>
      </c>
      <c r="BG22" s="12" t="n">
        <f aca="false">BG8/BG11/(1-BG12)</f>
        <v>1145.83333333333</v>
      </c>
      <c r="BH22" s="12" t="n">
        <f aca="false">BH8/BH11/(1-BH12)</f>
        <v>1145.83333333333</v>
      </c>
      <c r="BI22" s="12" t="n">
        <f aca="false">BI8/BI11/(1-BI12)</f>
        <v>1145.83333333333</v>
      </c>
    </row>
    <row r="23" customFormat="false" ht="15" hidden="false" customHeight="true" outlineLevel="0" collapsed="false">
      <c r="A23" s="11" t="s">
        <v>404</v>
      </c>
      <c r="B23" s="12" t="n">
        <f aca="false">B22*(1-INPUT!$B$13)*B9</f>
        <v>43.0769230769231</v>
      </c>
      <c r="C23" s="12" t="n">
        <f aca="false">B23*(1-C10)+C22*(1-INPUT!$B$13)*C9</f>
        <v>80.9846153846154</v>
      </c>
      <c r="D23" s="12" t="n">
        <f aca="false">C23*(1-D10)+D22*(1-INPUT!$B$13)*D9</f>
        <v>114.343384615385</v>
      </c>
      <c r="E23" s="12" t="n">
        <f aca="false">D23*(1-E10)+E22*(1-INPUT!$B$13)*E9</f>
        <v>143.699101538462</v>
      </c>
      <c r="F23" s="12" t="n">
        <f aca="false">E23*(1-F10)+F22*(1-INPUT!$B$13)*F9</f>
        <v>169.532132430769</v>
      </c>
      <c r="G23" s="12" t="n">
        <f aca="false">F23*(1-G10)+G22*(1-INPUT!$B$13)*G9</f>
        <v>192.265199616</v>
      </c>
      <c r="H23" s="12" t="n">
        <f aca="false">G23*(1-H10)+H22*(1-INPUT!$B$13)*H9</f>
        <v>212.270298739003</v>
      </c>
      <c r="I23" s="12" t="n">
        <f aca="false">H23*(1-I10)+I22*(1-INPUT!$B$13)*I9</f>
        <v>229.874785967246</v>
      </c>
      <c r="J23" s="12" t="n">
        <f aca="false">I23*(1-J10)+J22*(1-INPUT!$B$13)*J9</f>
        <v>245.366734728099</v>
      </c>
      <c r="K23" s="12" t="n">
        <f aca="false">J23*(1-K10)+K22*(1-INPUT!$B$13)*K9</f>
        <v>258.999649637651</v>
      </c>
      <c r="L23" s="12" t="n">
        <f aca="false">K23*(1-L10)+L22*(1-INPUT!$B$13)*L9</f>
        <v>270.996614758056</v>
      </c>
      <c r="M23" s="12" t="n">
        <f aca="false">L23*(1-M10)+M22*(1-INPUT!$B$13)*M9</f>
        <v>281.553944064012</v>
      </c>
      <c r="N23" s="12" t="n">
        <f aca="false">M23*(1-N10)+N22*(1-INPUT!$B$13)*N9</f>
        <v>347.76747077633</v>
      </c>
      <c r="O23" s="12" t="n">
        <f aca="false">N23*(1-O10)+O22*(1-INPUT!$B$13)*O9</f>
        <v>406.035374283171</v>
      </c>
      <c r="P23" s="12" t="n">
        <f aca="false">O23*(1-P10)+P22*(1-INPUT!$B$13)*P9</f>
        <v>457.31112936919</v>
      </c>
      <c r="Q23" s="12" t="n">
        <f aca="false">P23*(1-Q10)+Q22*(1-INPUT!$B$13)*Q9</f>
        <v>502.433793844888</v>
      </c>
      <c r="R23" s="12" t="n">
        <f aca="false">Q23*(1-R10)+R22*(1-INPUT!$B$13)*R9</f>
        <v>542.141738583501</v>
      </c>
      <c r="S23" s="12" t="n">
        <f aca="false">R23*(1-S10)+S22*(1-INPUT!$B$13)*S9</f>
        <v>577.084729953481</v>
      </c>
      <c r="T23" s="12" t="n">
        <f aca="false">S23*(1-T10)+T22*(1-INPUT!$B$13)*T9</f>
        <v>607.834562359063</v>
      </c>
      <c r="U23" s="12" t="n">
        <f aca="false">T23*(1-U10)+U22*(1-INPUT!$B$13)*U9</f>
        <v>634.894414875976</v>
      </c>
      <c r="V23" s="12" t="n">
        <f aca="false">U23*(1-V10)+V22*(1-INPUT!$B$13)*V9</f>
        <v>658.707085090858</v>
      </c>
      <c r="W23" s="12" t="n">
        <f aca="false">V23*(1-W10)+W22*(1-INPUT!$B$13)*W9</f>
        <v>679.662234879956</v>
      </c>
      <c r="X23" s="12" t="n">
        <f aca="false">W23*(1-X10)+X22*(1-INPUT!$B$13)*X9</f>
        <v>698.102766694361</v>
      </c>
      <c r="Y23" s="12" t="n">
        <f aca="false">X23*(1-Y10)+Y22*(1-INPUT!$B$13)*Y9</f>
        <v>714.330434691038</v>
      </c>
      <c r="Z23" s="12" t="n">
        <f aca="false">Y23*(1-Z10)+Z22*(1-INPUT!$B$13)*Z9</f>
        <v>784.166338083669</v>
      </c>
      <c r="AA23" s="12" t="n">
        <f aca="false">Z23*(1-AA10)+AA22*(1-INPUT!$B$13)*AA9</f>
        <v>845.621933069184</v>
      </c>
      <c r="AB23" s="12" t="n">
        <f aca="false">AA23*(1-AB10)+AB22*(1-INPUT!$B$13)*AB9</f>
        <v>899.702856656437</v>
      </c>
      <c r="AC23" s="12" t="n">
        <f aca="false">AB23*(1-AC10)+AC22*(1-INPUT!$B$13)*AC9</f>
        <v>947.29406941322</v>
      </c>
      <c r="AD23" s="12" t="n">
        <f aca="false">AC23*(1-AD10)+AD22*(1-INPUT!$B$13)*AD9</f>
        <v>989.17433663919</v>
      </c>
      <c r="AE23" s="12" t="n">
        <f aca="false">AD23*(1-AE10)+AE22*(1-INPUT!$B$13)*AE9</f>
        <v>1026.02897179804</v>
      </c>
      <c r="AF23" s="12" t="n">
        <f aca="false">AE23*(1-AF10)+AF22*(1-INPUT!$B$13)*AF9</f>
        <v>1058.46105073783</v>
      </c>
      <c r="AG23" s="12" t="n">
        <f aca="false">AF23*(1-AG10)+AG22*(1-INPUT!$B$13)*AG9</f>
        <v>1087.00128020485</v>
      </c>
      <c r="AH23" s="12" t="n">
        <f aca="false">AG23*(1-AH10)+AH22*(1-INPUT!$B$13)*AH9</f>
        <v>1112.11668213582</v>
      </c>
      <c r="AI23" s="12" t="n">
        <f aca="false">AH23*(1-AI10)+AI22*(1-INPUT!$B$13)*AI9</f>
        <v>1134.21823583508</v>
      </c>
      <c r="AJ23" s="12" t="n">
        <f aca="false">AI23*(1-AJ10)+AJ22*(1-INPUT!$B$13)*AJ9</f>
        <v>1153.66760309043</v>
      </c>
      <c r="AK23" s="12" t="n">
        <f aca="false">AJ23*(1-AK10)+AK22*(1-INPUT!$B$13)*AK9</f>
        <v>1170.78304627513</v>
      </c>
      <c r="AL23" s="12" t="n">
        <f aca="false">AK23*(1-AL10)+AL22*(1-INPUT!$B$13)*AL9</f>
        <v>1269.60532003835</v>
      </c>
      <c r="AM23" s="12" t="n">
        <f aca="false">AL23*(1-AM10)+AM22*(1-INPUT!$B$13)*AM9</f>
        <v>1356.56892094999</v>
      </c>
      <c r="AN23" s="12" t="n">
        <f aca="false">AM23*(1-AN10)+AN22*(1-INPUT!$B$13)*AN9</f>
        <v>1433.09688975223</v>
      </c>
      <c r="AO23" s="12" t="n">
        <f aca="false">AN23*(1-AO10)+AO22*(1-INPUT!$B$13)*AO9</f>
        <v>1500.4415022982</v>
      </c>
      <c r="AP23" s="12" t="n">
        <f aca="false">AO23*(1-AP10)+AP22*(1-INPUT!$B$13)*AP9</f>
        <v>1559.70476133866</v>
      </c>
      <c r="AQ23" s="12" t="n">
        <f aca="false">AP23*(1-AQ10)+AQ22*(1-INPUT!$B$13)*AQ9</f>
        <v>1611.85642929426</v>
      </c>
      <c r="AR23" s="12" t="n">
        <f aca="false">AQ23*(1-AR10)+AR22*(1-INPUT!$B$13)*AR9</f>
        <v>1657.74989709519</v>
      </c>
      <c r="AS23" s="12" t="n">
        <f aca="false">AR23*(1-AS10)+AS22*(1-INPUT!$B$13)*AS9</f>
        <v>1698.13614876</v>
      </c>
      <c r="AT23" s="12" t="n">
        <f aca="false">AS23*(1-AT10)+AT22*(1-INPUT!$B$13)*AT9</f>
        <v>1733.67605022504</v>
      </c>
      <c r="AU23" s="12" t="n">
        <f aca="false">AT23*(1-AU10)+AU22*(1-INPUT!$B$13)*AU9</f>
        <v>1764.95116351428</v>
      </c>
      <c r="AV23" s="12" t="n">
        <f aca="false">AU23*(1-AV10)+AV22*(1-INPUT!$B$13)*AV9</f>
        <v>1792.4732632088</v>
      </c>
      <c r="AW23" s="12" t="n">
        <f aca="false">AV23*(1-AW10)+AW22*(1-INPUT!$B$13)*AW9</f>
        <v>1816.69271093999</v>
      </c>
      <c r="AX23" s="12" t="n">
        <f aca="false">AW23*(1-AX10)+AX22*(1-INPUT!$B$13)*AX9</f>
        <v>1919.52291896052</v>
      </c>
      <c r="AY23" s="12" t="n">
        <f aca="false">AX23*(1-AY10)+AY22*(1-INPUT!$B$13)*AY9</f>
        <v>2010.01350201859</v>
      </c>
      <c r="AZ23" s="12" t="n">
        <f aca="false">AY23*(1-AZ10)+AZ22*(1-INPUT!$B$13)*AZ9</f>
        <v>2089.64521510969</v>
      </c>
      <c r="BA23" s="12" t="n">
        <f aca="false">AZ23*(1-BA10)+BA22*(1-INPUT!$B$13)*BA9</f>
        <v>2159.72112262986</v>
      </c>
      <c r="BB23" s="12" t="n">
        <f aca="false">BA23*(1-BB10)+BB22*(1-INPUT!$B$13)*BB9</f>
        <v>2221.38792124761</v>
      </c>
      <c r="BC23" s="12" t="n">
        <f aca="false">BB23*(1-BC10)+BC22*(1-INPUT!$B$13)*BC9</f>
        <v>2275.65470403123</v>
      </c>
      <c r="BD23" s="12" t="n">
        <f aca="false">BC23*(1-BD10)+BD22*(1-INPUT!$B$13)*BD9</f>
        <v>2323.40947288082</v>
      </c>
      <c r="BE23" s="12" t="n">
        <f aca="false">BD23*(1-BE10)+BE22*(1-INPUT!$B$13)*BE9</f>
        <v>2365.43366946845</v>
      </c>
      <c r="BF23" s="12" t="n">
        <f aca="false">BE23*(1-BF10)+BF22*(1-INPUT!$B$13)*BF9</f>
        <v>2402.41496246557</v>
      </c>
      <c r="BG23" s="12" t="n">
        <f aca="false">BF23*(1-BG10)+BG22*(1-INPUT!$B$13)*BG9</f>
        <v>2434.95850030304</v>
      </c>
      <c r="BH23" s="12" t="n">
        <f aca="false">BG23*(1-BH10)+BH22*(1-INPUT!$B$13)*BH9</f>
        <v>2463.59681360001</v>
      </c>
      <c r="BI23" s="12" t="n">
        <f aca="false">BH23*(1-BI10)+BI22*(1-INPUT!$B$13)*BI9</f>
        <v>2488.79852930134</v>
      </c>
    </row>
    <row r="24" customFormat="false" ht="15" hidden="false" customHeight="true" outlineLevel="0" collapsed="false">
      <c r="A24" s="11" t="s">
        <v>405</v>
      </c>
      <c r="B24" s="12" t="n">
        <f aca="false">B22*INPUT!$B$13</f>
        <v>30.7692307692308</v>
      </c>
      <c r="C24" s="12" t="n">
        <f aca="false">B24*(1-INPUT!$B$118)+C22*INPUT!$B$13</f>
        <v>60.7692307692308</v>
      </c>
      <c r="D24" s="12" t="n">
        <f aca="false">C24*(1-INPUT!$B$118)+D22*INPUT!$B$13</f>
        <v>90.0192307692308</v>
      </c>
      <c r="E24" s="12" t="n">
        <f aca="false">D24*(1-INPUT!$B$118)+E22*INPUT!$B$13</f>
        <v>118.537980769231</v>
      </c>
      <c r="F24" s="12" t="n">
        <f aca="false">E24*(1-INPUT!$B$118)+F22*INPUT!$B$13</f>
        <v>146.343762019231</v>
      </c>
      <c r="G24" s="12" t="n">
        <f aca="false">F24*(1-INPUT!$B$118)+G22*INPUT!$B$13</f>
        <v>173.454398737981</v>
      </c>
      <c r="H24" s="12" t="n">
        <f aca="false">G24*(1-INPUT!$B$118)+H22*INPUT!$B$13</f>
        <v>199.887269538762</v>
      </c>
      <c r="I24" s="12" t="n">
        <f aca="false">H24*(1-INPUT!$B$118)+I22*INPUT!$B$13</f>
        <v>225.659318569524</v>
      </c>
      <c r="J24" s="12" t="n">
        <f aca="false">I24*(1-INPUT!$B$118)+J22*INPUT!$B$13</f>
        <v>250.787066374516</v>
      </c>
      <c r="K24" s="12" t="n">
        <f aca="false">J24*(1-INPUT!$B$118)+K22*INPUT!$B$13</f>
        <v>275.286620484384</v>
      </c>
      <c r="L24" s="12" t="n">
        <f aca="false">K24*(1-INPUT!$B$118)+L22*INPUT!$B$13</f>
        <v>299.173685741505</v>
      </c>
      <c r="M24" s="12" t="n">
        <f aca="false">L24*(1-INPUT!$B$118)+M22*INPUT!$B$13</f>
        <v>322.463574367199</v>
      </c>
      <c r="N24" s="12" t="n">
        <f aca="false">M24*(1-INPUT!$B$118)+N22*INPUT!$B$13</f>
        <v>385.83055643659</v>
      </c>
      <c r="O24" s="12" t="n">
        <f aca="false">N24*(1-INPUT!$B$118)+O22*INPUT!$B$13</f>
        <v>447.613363954247</v>
      </c>
      <c r="P24" s="12" t="n">
        <f aca="false">O24*(1-INPUT!$B$118)+P22*INPUT!$B$13</f>
        <v>507.851601283962</v>
      </c>
      <c r="Q24" s="12" t="n">
        <f aca="false">P24*(1-INPUT!$B$118)+Q22*INPUT!$B$13</f>
        <v>566.583882680434</v>
      </c>
      <c r="R24" s="12" t="n">
        <f aca="false">Q24*(1-INPUT!$B$118)+R22*INPUT!$B$13</f>
        <v>623.847857041995</v>
      </c>
      <c r="S24" s="12" t="n">
        <f aca="false">R24*(1-INPUT!$B$118)+S22*INPUT!$B$13</f>
        <v>679.680232044517</v>
      </c>
      <c r="T24" s="12" t="n">
        <f aca="false">S24*(1-INPUT!$B$118)+T22*INPUT!$B$13</f>
        <v>734.116797671975</v>
      </c>
      <c r="U24" s="12" t="n">
        <f aca="false">T24*(1-INPUT!$B$118)+U22*INPUT!$B$13</f>
        <v>787.192449158747</v>
      </c>
      <c r="V24" s="12" t="n">
        <f aca="false">U24*(1-INPUT!$B$118)+V22*INPUT!$B$13</f>
        <v>838.94120935835</v>
      </c>
      <c r="W24" s="12" t="n">
        <f aca="false">V24*(1-INPUT!$B$118)+W22*INPUT!$B$13</f>
        <v>889.396250552963</v>
      </c>
      <c r="X24" s="12" t="n">
        <f aca="false">W24*(1-INPUT!$B$118)+X22*INPUT!$B$13</f>
        <v>938.58991571771</v>
      </c>
      <c r="Y24" s="12" t="n">
        <f aca="false">X24*(1-INPUT!$B$118)+Y22*INPUT!$B$13</f>
        <v>986.553739253339</v>
      </c>
      <c r="Z24" s="12" t="n">
        <f aca="false">Y24*(1-INPUT!$B$118)+Z22*INPUT!$B$13</f>
        <v>1073.00100688312</v>
      </c>
      <c r="AA24" s="12" t="n">
        <f aca="false">Z24*(1-INPUT!$B$118)+AA22*INPUT!$B$13</f>
        <v>1157.28709282215</v>
      </c>
      <c r="AB24" s="12" t="n">
        <f aca="false">AA24*(1-INPUT!$B$118)+AB22*INPUT!$B$13</f>
        <v>1239.46602661271</v>
      </c>
      <c r="AC24" s="12" t="n">
        <f aca="false">AB24*(1-INPUT!$B$118)+AC22*INPUT!$B$13</f>
        <v>1319.5904870585</v>
      </c>
      <c r="AD24" s="12" t="n">
        <f aca="false">AC24*(1-INPUT!$B$118)+AD22*INPUT!$B$13</f>
        <v>1397.71183599315</v>
      </c>
      <c r="AE24" s="12" t="n">
        <f aca="false">AD24*(1-INPUT!$B$118)+AE22*INPUT!$B$13</f>
        <v>1473.88015120443</v>
      </c>
      <c r="AF24" s="12" t="n">
        <f aca="false">AE24*(1-INPUT!$B$118)+AF22*INPUT!$B$13</f>
        <v>1548.14425853543</v>
      </c>
      <c r="AG24" s="12" t="n">
        <f aca="false">AF24*(1-INPUT!$B$118)+AG22*INPUT!$B$13</f>
        <v>1620.55176318316</v>
      </c>
      <c r="AH24" s="12" t="n">
        <f aca="false">AG24*(1-INPUT!$B$118)+AH22*INPUT!$B$13</f>
        <v>1691.14908021469</v>
      </c>
      <c r="AI24" s="12" t="n">
        <f aca="false">AH24*(1-INPUT!$B$118)+AI22*INPUT!$B$13</f>
        <v>1759.98146432043</v>
      </c>
      <c r="AJ24" s="12" t="n">
        <f aca="false">AI24*(1-INPUT!$B$118)+AJ22*INPUT!$B$13</f>
        <v>1827.09303882353</v>
      </c>
      <c r="AK24" s="12" t="n">
        <f aca="false">AJ24*(1-INPUT!$B$118)+AK22*INPUT!$B$13</f>
        <v>1892.52682396406</v>
      </c>
      <c r="AL24" s="12" t="n">
        <f aca="false">AK24*(1-INPUT!$B$118)+AL22*INPUT!$B$13</f>
        <v>2016.15382430513</v>
      </c>
      <c r="AM24" s="12" t="n">
        <f aca="false">AL24*(1-INPUT!$B$118)+AM22*INPUT!$B$13</f>
        <v>2136.69014963767</v>
      </c>
      <c r="AN24" s="12" t="n">
        <f aca="false">AM24*(1-INPUT!$B$118)+AN22*INPUT!$B$13</f>
        <v>2254.2130668369</v>
      </c>
      <c r="AO24" s="12" t="n">
        <f aca="false">AN24*(1-INPUT!$B$118)+AO22*INPUT!$B$13</f>
        <v>2368.79791110615</v>
      </c>
      <c r="AP24" s="12" t="n">
        <f aca="false">AO24*(1-INPUT!$B$118)+AP22*INPUT!$B$13</f>
        <v>2480.51813426866</v>
      </c>
      <c r="AQ24" s="12" t="n">
        <f aca="false">AP24*(1-INPUT!$B$118)+AQ22*INPUT!$B$13</f>
        <v>2589.44535185212</v>
      </c>
      <c r="AR24" s="12" t="n">
        <f aca="false">AQ24*(1-INPUT!$B$118)+AR22*INPUT!$B$13</f>
        <v>2695.64938899599</v>
      </c>
      <c r="AS24" s="12" t="n">
        <f aca="false">AR24*(1-INPUT!$B$118)+AS22*INPUT!$B$13</f>
        <v>2799.19832521126</v>
      </c>
      <c r="AT24" s="12" t="n">
        <f aca="false">AS24*(1-INPUT!$B$118)+AT22*INPUT!$B$13</f>
        <v>2900.15853802115</v>
      </c>
      <c r="AU24" s="12" t="n">
        <f aca="false">AT24*(1-INPUT!$B$118)+AU22*INPUT!$B$13</f>
        <v>2998.59474551079</v>
      </c>
      <c r="AV24" s="12" t="n">
        <f aca="false">AU24*(1-INPUT!$B$118)+AV22*INPUT!$B$13</f>
        <v>3094.57004781319</v>
      </c>
      <c r="AW24" s="12" t="n">
        <f aca="false">AV24*(1-INPUT!$B$118)+AW22*INPUT!$B$13</f>
        <v>3188.14596755803</v>
      </c>
      <c r="AX24" s="12" t="n">
        <f aca="false">AW24*(1-INPUT!$B$118)+AX22*INPUT!$B$13</f>
        <v>3337.60898503575</v>
      </c>
      <c r="AY24" s="12" t="n">
        <f aca="false">AX24*(1-INPUT!$B$118)+AY22*INPUT!$B$13</f>
        <v>3483.33542707652</v>
      </c>
      <c r="AZ24" s="12" t="n">
        <f aca="false">AY24*(1-INPUT!$B$118)+AZ22*INPUT!$B$13</f>
        <v>3625.41870806627</v>
      </c>
      <c r="BA24" s="12" t="n">
        <f aca="false">AZ24*(1-INPUT!$B$118)+BA22*INPUT!$B$13</f>
        <v>3763.94990703128</v>
      </c>
      <c r="BB24" s="12" t="n">
        <f aca="false">BA24*(1-INPUT!$B$118)+BB22*INPUT!$B$13</f>
        <v>3899.01782602217</v>
      </c>
      <c r="BC24" s="12" t="n">
        <f aca="false">BB24*(1-INPUT!$B$118)+BC22*INPUT!$B$13</f>
        <v>4030.70904703828</v>
      </c>
      <c r="BD24" s="12" t="n">
        <f aca="false">BC24*(1-INPUT!$B$118)+BD22*INPUT!$B$13</f>
        <v>4159.10798752899</v>
      </c>
      <c r="BE24" s="12" t="n">
        <f aca="false">BD24*(1-INPUT!$B$118)+BE22*INPUT!$B$13</f>
        <v>4284.29695450743</v>
      </c>
      <c r="BF24" s="12" t="n">
        <f aca="false">BE24*(1-INPUT!$B$118)+BF22*INPUT!$B$13</f>
        <v>4406.35619731141</v>
      </c>
      <c r="BG24" s="12" t="n">
        <f aca="false">BF24*(1-INPUT!$B$118)+BG22*INPUT!$B$13</f>
        <v>4525.36395904529</v>
      </c>
      <c r="BH24" s="12" t="n">
        <f aca="false">BG24*(1-INPUT!$B$118)+BH22*INPUT!$B$13</f>
        <v>4641.39652673583</v>
      </c>
      <c r="BI24" s="12" t="n">
        <f aca="false">BH24*(1-INPUT!$B$118)+BI22*INPUT!$B$13</f>
        <v>4754.5282802341</v>
      </c>
    </row>
    <row r="25" customFormat="false" ht="15" hidden="false" customHeight="true" outlineLevel="0" collapsed="false">
      <c r="A25" s="6" t="s">
        <v>406</v>
      </c>
      <c r="B25" s="22" t="n">
        <f aca="false">B22*INPUT!$B$13</f>
        <v>30.7692307692308</v>
      </c>
      <c r="C25" s="22" t="n">
        <f aca="false">C22*INPUT!$B$13</f>
        <v>30.7692307692308</v>
      </c>
      <c r="D25" s="22" t="n">
        <f aca="false">D22*INPUT!$B$13</f>
        <v>30.7692307692308</v>
      </c>
      <c r="E25" s="22" t="n">
        <f aca="false">E22*INPUT!$B$13</f>
        <v>30.7692307692308</v>
      </c>
      <c r="F25" s="22" t="n">
        <f aca="false">F22*INPUT!$B$13</f>
        <v>30.7692307692308</v>
      </c>
      <c r="G25" s="22" t="n">
        <f aca="false">G22*INPUT!$B$13</f>
        <v>30.7692307692308</v>
      </c>
      <c r="H25" s="22" t="n">
        <f aca="false">H22*INPUT!$B$13</f>
        <v>30.7692307692308</v>
      </c>
      <c r="I25" s="22" t="n">
        <f aca="false">I22*INPUT!$B$13</f>
        <v>30.7692307692308</v>
      </c>
      <c r="J25" s="22" t="n">
        <f aca="false">J22*INPUT!$B$13</f>
        <v>30.7692307692308</v>
      </c>
      <c r="K25" s="22" t="n">
        <f aca="false">K22*INPUT!$B$13</f>
        <v>30.7692307692308</v>
      </c>
      <c r="L25" s="22" t="n">
        <f aca="false">L22*INPUT!$B$13</f>
        <v>30.7692307692308</v>
      </c>
      <c r="M25" s="22" t="n">
        <f aca="false">M22*INPUT!$B$13</f>
        <v>30.7692307692308</v>
      </c>
      <c r="N25" s="22" t="n">
        <f aca="false">N22*INPUT!$B$13</f>
        <v>71.4285714285714</v>
      </c>
      <c r="O25" s="22" t="n">
        <f aca="false">O22*INPUT!$B$13</f>
        <v>71.4285714285714</v>
      </c>
      <c r="P25" s="22" t="n">
        <f aca="false">P22*INPUT!$B$13</f>
        <v>71.4285714285714</v>
      </c>
      <c r="Q25" s="22" t="n">
        <f aca="false">Q22*INPUT!$B$13</f>
        <v>71.4285714285714</v>
      </c>
      <c r="R25" s="22" t="n">
        <f aca="false">R22*INPUT!$B$13</f>
        <v>71.4285714285714</v>
      </c>
      <c r="S25" s="22" t="n">
        <f aca="false">S22*INPUT!$B$13</f>
        <v>71.4285714285714</v>
      </c>
      <c r="T25" s="22" t="n">
        <f aca="false">T22*INPUT!$B$13</f>
        <v>71.4285714285714</v>
      </c>
      <c r="U25" s="22" t="n">
        <f aca="false">U22*INPUT!$B$13</f>
        <v>71.4285714285714</v>
      </c>
      <c r="V25" s="22" t="n">
        <f aca="false">V22*INPUT!$B$13</f>
        <v>71.4285714285714</v>
      </c>
      <c r="W25" s="22" t="n">
        <f aca="false">W22*INPUT!$B$13</f>
        <v>71.4285714285714</v>
      </c>
      <c r="X25" s="22" t="n">
        <f aca="false">X22*INPUT!$B$13</f>
        <v>71.4285714285714</v>
      </c>
      <c r="Y25" s="22" t="n">
        <f aca="false">Y22*INPUT!$B$13</f>
        <v>71.4285714285714</v>
      </c>
      <c r="Z25" s="22" t="n">
        <f aca="false">Z22*INPUT!$B$13</f>
        <v>111.111111111111</v>
      </c>
      <c r="AA25" s="22" t="n">
        <f aca="false">AA22*INPUT!$B$13</f>
        <v>111.111111111111</v>
      </c>
      <c r="AB25" s="22" t="n">
        <f aca="false">AB22*INPUT!$B$13</f>
        <v>111.111111111111</v>
      </c>
      <c r="AC25" s="22" t="n">
        <f aca="false">AC22*INPUT!$B$13</f>
        <v>111.111111111111</v>
      </c>
      <c r="AD25" s="22" t="n">
        <f aca="false">AD22*INPUT!$B$13</f>
        <v>111.111111111111</v>
      </c>
      <c r="AE25" s="22" t="n">
        <f aca="false">AE22*INPUT!$B$13</f>
        <v>111.111111111111</v>
      </c>
      <c r="AF25" s="22" t="n">
        <f aca="false">AF22*INPUT!$B$13</f>
        <v>111.111111111111</v>
      </c>
      <c r="AG25" s="22" t="n">
        <f aca="false">AG22*INPUT!$B$13</f>
        <v>111.111111111111</v>
      </c>
      <c r="AH25" s="22" t="n">
        <f aca="false">AH22*INPUT!$B$13</f>
        <v>111.111111111111</v>
      </c>
      <c r="AI25" s="22" t="n">
        <f aca="false">AI22*INPUT!$B$13</f>
        <v>111.111111111111</v>
      </c>
      <c r="AJ25" s="22" t="n">
        <f aca="false">AJ22*INPUT!$B$13</f>
        <v>111.111111111111</v>
      </c>
      <c r="AK25" s="22" t="n">
        <f aca="false">AK22*INPUT!$B$13</f>
        <v>111.111111111111</v>
      </c>
      <c r="AL25" s="22" t="n">
        <f aca="false">AL22*INPUT!$B$13</f>
        <v>170.940170940171</v>
      </c>
      <c r="AM25" s="22" t="n">
        <f aca="false">AM22*INPUT!$B$13</f>
        <v>170.940170940171</v>
      </c>
      <c r="AN25" s="22" t="n">
        <f aca="false">AN22*INPUT!$B$13</f>
        <v>170.940170940171</v>
      </c>
      <c r="AO25" s="22" t="n">
        <f aca="false">AO22*INPUT!$B$13</f>
        <v>170.940170940171</v>
      </c>
      <c r="AP25" s="22" t="n">
        <f aca="false">AP22*INPUT!$B$13</f>
        <v>170.940170940171</v>
      </c>
      <c r="AQ25" s="22" t="n">
        <f aca="false">AQ22*INPUT!$B$13</f>
        <v>170.940170940171</v>
      </c>
      <c r="AR25" s="22" t="n">
        <f aca="false">AR22*INPUT!$B$13</f>
        <v>170.940170940171</v>
      </c>
      <c r="AS25" s="22" t="n">
        <f aca="false">AS22*INPUT!$B$13</f>
        <v>170.940170940171</v>
      </c>
      <c r="AT25" s="22" t="n">
        <f aca="false">AT22*INPUT!$B$13</f>
        <v>170.940170940171</v>
      </c>
      <c r="AU25" s="22" t="n">
        <f aca="false">AU22*INPUT!$B$13</f>
        <v>170.940170940171</v>
      </c>
      <c r="AV25" s="22" t="n">
        <f aca="false">AV22*INPUT!$B$13</f>
        <v>170.940170940171</v>
      </c>
      <c r="AW25" s="22" t="n">
        <f aca="false">AW22*INPUT!$B$13</f>
        <v>170.940170940171</v>
      </c>
      <c r="AX25" s="22" t="n">
        <f aca="false">AX22*INPUT!$B$13</f>
        <v>229.166666666667</v>
      </c>
      <c r="AY25" s="22" t="n">
        <f aca="false">AY22*INPUT!$B$13</f>
        <v>229.166666666667</v>
      </c>
      <c r="AZ25" s="22" t="n">
        <f aca="false">AZ22*INPUT!$B$13</f>
        <v>229.166666666667</v>
      </c>
      <c r="BA25" s="22" t="n">
        <f aca="false">BA22*INPUT!$B$13</f>
        <v>229.166666666667</v>
      </c>
      <c r="BB25" s="22" t="n">
        <f aca="false">BB22*INPUT!$B$13</f>
        <v>229.166666666667</v>
      </c>
      <c r="BC25" s="22" t="n">
        <f aca="false">BC22*INPUT!$B$13</f>
        <v>229.166666666667</v>
      </c>
      <c r="BD25" s="22" t="n">
        <f aca="false">BD22*INPUT!$B$13</f>
        <v>229.166666666667</v>
      </c>
      <c r="BE25" s="22" t="n">
        <f aca="false">BE22*INPUT!$B$13</f>
        <v>229.166666666667</v>
      </c>
      <c r="BF25" s="22" t="n">
        <f aca="false">BF22*INPUT!$B$13</f>
        <v>229.166666666667</v>
      </c>
      <c r="BG25" s="22" t="n">
        <f aca="false">BG22*INPUT!$B$13</f>
        <v>229.166666666667</v>
      </c>
      <c r="BH25" s="22" t="n">
        <f aca="false">BH22*INPUT!$B$13</f>
        <v>229.166666666667</v>
      </c>
      <c r="BI25" s="22" t="n">
        <f aca="false">BI22*INPUT!$B$13</f>
        <v>229.166666666667</v>
      </c>
    </row>
    <row r="26" customFormat="false" ht="15" hidden="false" customHeight="true" outlineLevel="0" collapsed="false">
      <c r="A26" s="7" t="s">
        <v>407</v>
      </c>
      <c r="B26" s="8"/>
      <c r="C26" s="8"/>
      <c r="D26" s="8"/>
      <c r="E26" s="8"/>
      <c r="F26" s="8"/>
      <c r="G26" s="8"/>
    </row>
    <row r="27" customFormat="false" ht="15" hidden="false" customHeight="true" outlineLevel="0" collapsed="false">
      <c r="A27" s="11" t="s">
        <v>408</v>
      </c>
      <c r="B27" s="12" t="n">
        <f aca="false">B22</f>
        <v>153.846153846154</v>
      </c>
      <c r="C27" s="12" t="n">
        <f aca="false">C22+B23+B24</f>
        <v>227.692307692308</v>
      </c>
      <c r="D27" s="12" t="n">
        <f aca="false">D22+C23+C24</f>
        <v>295.6</v>
      </c>
      <c r="E27" s="12" t="n">
        <f aca="false">E22+D23+D24</f>
        <v>358.208769230769</v>
      </c>
      <c r="F27" s="12" t="n">
        <f aca="false">F22+E23+E24</f>
        <v>416.083236153846</v>
      </c>
      <c r="G27" s="12" t="n">
        <f aca="false">G22+F23+F24</f>
        <v>469.722048296154</v>
      </c>
      <c r="H27" s="12" t="n">
        <f aca="false">H22+G23+G24</f>
        <v>519.565752200135</v>
      </c>
      <c r="I27" s="12" t="n">
        <f aca="false">I22+H23+H24</f>
        <v>566.003722123919</v>
      </c>
      <c r="J27" s="12" t="n">
        <f aca="false">J22+I23+I24</f>
        <v>609.380258382923</v>
      </c>
      <c r="K27" s="12" t="n">
        <f aca="false">K22+J23+J24</f>
        <v>649.99995494877</v>
      </c>
      <c r="L27" s="12" t="n">
        <f aca="false">L22+K23+K24</f>
        <v>688.132423968189</v>
      </c>
      <c r="M27" s="12" t="n">
        <f aca="false">M22+L23+L24</f>
        <v>724.016454345715</v>
      </c>
      <c r="N27" s="12" t="n">
        <f aca="false">N22+M23+M24</f>
        <v>961.160375574068</v>
      </c>
      <c r="O27" s="12" t="n">
        <f aca="false">O22+N23+N24</f>
        <v>1090.74088435578</v>
      </c>
      <c r="P27" s="12" t="n">
        <f aca="false">P22+O23+O24</f>
        <v>1210.79159538027</v>
      </c>
      <c r="Q27" s="12" t="n">
        <f aca="false">Q22+P23+P24</f>
        <v>1322.30558779601</v>
      </c>
      <c r="R27" s="12" t="n">
        <f aca="false">R22+Q23+Q24</f>
        <v>1426.16053366818</v>
      </c>
      <c r="S27" s="12" t="n">
        <f aca="false">S22+R23+R24</f>
        <v>1523.13245276835</v>
      </c>
      <c r="T27" s="12" t="n">
        <f aca="false">T22+S23+S24</f>
        <v>1613.90781914085</v>
      </c>
      <c r="U27" s="12" t="n">
        <f aca="false">U22+T23+T24</f>
        <v>1699.0942171739</v>
      </c>
      <c r="V27" s="12" t="n">
        <f aca="false">V22+U23+U24</f>
        <v>1779.22972117758</v>
      </c>
      <c r="W27" s="12" t="n">
        <f aca="false">W22+V23+V24</f>
        <v>1854.79115159207</v>
      </c>
      <c r="X27" s="12" t="n">
        <f aca="false">X22+W23+W24</f>
        <v>1926.20134257578</v>
      </c>
      <c r="Y27" s="12" t="n">
        <f aca="false">Y22+X23+X24</f>
        <v>1993.83553955493</v>
      </c>
      <c r="Z27" s="12" t="n">
        <f aca="false">Z22+Y23+Y24</f>
        <v>2256.43972949993</v>
      </c>
      <c r="AA27" s="12" t="n">
        <f aca="false">AA22+Z23+Z24</f>
        <v>2412.72290052234</v>
      </c>
      <c r="AB27" s="12" t="n">
        <f aca="false">AB22+AA23+AA24</f>
        <v>2558.46458144689</v>
      </c>
      <c r="AC27" s="12" t="n">
        <f aca="false">AC22+AB23+AB24</f>
        <v>2694.7244388247</v>
      </c>
      <c r="AD27" s="12" t="n">
        <f aca="false">AD22+AC23+AC24</f>
        <v>2822.44011202728</v>
      </c>
      <c r="AE27" s="12" t="n">
        <f aca="false">AE22+AD23+AD24</f>
        <v>2942.44172818789</v>
      </c>
      <c r="AF27" s="12" t="n">
        <f aca="false">AF22+AE23+AE24</f>
        <v>3055.46467855803</v>
      </c>
      <c r="AG27" s="12" t="n">
        <f aca="false">AG22+AF23+AF24</f>
        <v>3162.16086482882</v>
      </c>
      <c r="AH27" s="12" t="n">
        <f aca="false">AH22+AG23+AG24</f>
        <v>3263.10859894356</v>
      </c>
      <c r="AI27" s="12" t="n">
        <f aca="false">AI22+AH23+AH24</f>
        <v>3358.82131790607</v>
      </c>
      <c r="AJ27" s="12" t="n">
        <f aca="false">AJ22+AI23+AI24</f>
        <v>3449.75525571107</v>
      </c>
      <c r="AK27" s="12" t="n">
        <f aca="false">AK22+AJ23+AJ24</f>
        <v>3536.31619746951</v>
      </c>
      <c r="AL27" s="12" t="n">
        <f aca="false">AL22+AK23+AK24</f>
        <v>3918.01072494004</v>
      </c>
      <c r="AM27" s="12" t="n">
        <f aca="false">AM22+AL23+AL24</f>
        <v>4140.45999904433</v>
      </c>
      <c r="AN27" s="12" t="n">
        <f aca="false">AN22+AM23+AM24</f>
        <v>4347.95992528851</v>
      </c>
      <c r="AO27" s="12" t="n">
        <f aca="false">AO22+AN23+AN24</f>
        <v>4542.01081128998</v>
      </c>
      <c r="AP27" s="12" t="n">
        <f aca="false">AP22+AO23+AO24</f>
        <v>4723.9402681052</v>
      </c>
      <c r="AQ27" s="12" t="n">
        <f aca="false">AQ22+AP23+AP24</f>
        <v>4894.92375030818</v>
      </c>
      <c r="AR27" s="12" t="n">
        <f aca="false">AR22+AQ23+AQ24</f>
        <v>5056.00263584723</v>
      </c>
      <c r="AS27" s="12" t="n">
        <f aca="false">AS22+AR23+AR24</f>
        <v>5208.10014079203</v>
      </c>
      <c r="AT27" s="12" t="n">
        <f aca="false">AT22+AS23+AS24</f>
        <v>5352.03532867212</v>
      </c>
      <c r="AU27" s="12" t="n">
        <f aca="false">AU22+AT23+AT24</f>
        <v>5488.53544294704</v>
      </c>
      <c r="AV27" s="12" t="n">
        <f aca="false">AV22+AU23+AU24</f>
        <v>5618.24676372592</v>
      </c>
      <c r="AW27" s="12" t="n">
        <f aca="false">AW22+AV23+AV24</f>
        <v>5741.74416572285</v>
      </c>
      <c r="AX27" s="12" t="n">
        <f aca="false">AX22+AW23+AW24</f>
        <v>6150.67201183135</v>
      </c>
      <c r="AY27" s="12" t="n">
        <f aca="false">AY22+AX23+AX24</f>
        <v>6402.9652373296</v>
      </c>
      <c r="AZ27" s="12" t="n">
        <f aca="false">AZ22+AY23+AY24</f>
        <v>6639.18226242844</v>
      </c>
      <c r="BA27" s="12" t="n">
        <f aca="false">BA22+AZ23+AZ24</f>
        <v>6860.8972565093</v>
      </c>
      <c r="BB27" s="12" t="n">
        <f aca="false">BB22+BA23+BA24</f>
        <v>7069.50436299448</v>
      </c>
      <c r="BC27" s="12" t="n">
        <f aca="false">BC22+BB23+BB24</f>
        <v>7266.23908060311</v>
      </c>
      <c r="BD27" s="12" t="n">
        <f aca="false">BD22+BC23+BC24</f>
        <v>7452.19708440285</v>
      </c>
      <c r="BE27" s="12" t="n">
        <f aca="false">BE22+BD23+BD24</f>
        <v>7628.35079374314</v>
      </c>
      <c r="BF27" s="12" t="n">
        <f aca="false">BF22+BE23+BE24</f>
        <v>7795.56395730922</v>
      </c>
      <c r="BG27" s="12" t="n">
        <f aca="false">BG22+BF23+BF24</f>
        <v>7954.60449311032</v>
      </c>
      <c r="BH27" s="12" t="n">
        <f aca="false">BH22+BG23+BG24</f>
        <v>8106.15579268166</v>
      </c>
      <c r="BI27" s="12" t="n">
        <f aca="false">BI22+BH23+BH24</f>
        <v>8250.82667366917</v>
      </c>
    </row>
    <row r="28" customFormat="false" ht="15" hidden="false" customHeight="true" outlineLevel="0" collapsed="false">
      <c r="A28" s="4" t="s">
        <v>66</v>
      </c>
      <c r="B28" s="10" t="n">
        <f aca="false">B22*INPUT!$B$10*(1-INPUT!$B$13)+B22*INPUT!$B$12*INPUT!$B$13</f>
        <v>20005.5944055944</v>
      </c>
      <c r="C28" s="10" t="n">
        <f aca="false">C22*INPUT!$B$10*(1-INPUT!$B$13)+C22*INPUT!$B$12*INPUT!$B$13+B23*INPUT!$B$10+B24*INPUT!$B$12</f>
        <v>29174.8251748252</v>
      </c>
      <c r="D28" s="10" t="n">
        <f aca="false">D22*INPUT!$B$10*(1-INPUT!$B$13)+D22*INPUT!$B$12*INPUT!$B$13+C23*INPUT!$B$10+C24*INPUT!$B$12</f>
        <v>37560.5034965035</v>
      </c>
      <c r="E28" s="10" t="n">
        <f aca="false">E22*INPUT!$B$10*(1-INPUT!$B$13)+E22*INPUT!$B$12*INPUT!$B$13+D23*INPUT!$B$10+D24*INPUT!$B$12</f>
        <v>45248.7367832168</v>
      </c>
      <c r="F28" s="10" t="n">
        <f aca="false">F22*INPUT!$B$10*(1-INPUT!$B$13)+F22*INPUT!$B$12*INPUT!$B$13+E23*INPUT!$B$10+E24*INPUT!$B$12</f>
        <v>52315.4975300699</v>
      </c>
      <c r="G28" s="10" t="n">
        <f aca="false">G22*INPUT!$B$10*(1-INPUT!$B$13)+G22*INPUT!$B$12*INPUT!$B$13+F23*INPUT!$B$10+F24*INPUT!$B$12</f>
        <v>58827.8345554825</v>
      </c>
      <c r="H28" s="10" t="n">
        <f aca="false">H22*INPUT!$B$10*(1-INPUT!$B$13)+H22*INPUT!$B$12*INPUT!$B$13+G23*INPUT!$B$10+G24*INPUT!$B$12</f>
        <v>64844.9390168229</v>
      </c>
      <c r="I28" s="10" t="n">
        <f aca="false">I22*INPUT!$B$10*(1-INPUT!$B$13)+I22*INPUT!$B$12*INPUT!$B$13+H23*INPUT!$B$10+H24*INPUT!$B$12</f>
        <v>70419.0826248052</v>
      </c>
      <c r="J28" s="10" t="n">
        <f aca="false">J22*INPUT!$B$10*(1-INPUT!$B$13)+J22*INPUT!$B$12*INPUT!$B$13+I23*INPUT!$B$10+I24*INPUT!$B$12</f>
        <v>75596.4433897824</v>
      </c>
      <c r="K28" s="10" t="n">
        <f aca="false">K22*INPUT!$B$10*(1-INPUT!$B$13)+K22*INPUT!$B$12*INPUT!$B$13+J23*INPUT!$B$10+J24*INPUT!$B$12</f>
        <v>80417.8323931664</v>
      </c>
      <c r="L28" s="10" t="n">
        <f aca="false">L22*INPUT!$B$10*(1-INPUT!$B$13)+L22*INPUT!$B$12*INPUT!$B$13+K23*INPUT!$B$10+K24*INPUT!$B$12</f>
        <v>84919.3334580931</v>
      </c>
      <c r="M28" s="10" t="n">
        <f aca="false">M22*INPUT!$B$10*(1-INPUT!$B$13)+M22*INPUT!$B$12*INPUT!$B$13+L23*INPUT!$B$10+L24*INPUT!$B$12</f>
        <v>89132.8661686287</v>
      </c>
      <c r="N28" s="10" t="n">
        <f aca="false">N22*INPUT!$B$10*(1-INPUT!$B$13)+N22*INPUT!$B$12*INPUT!$B$13+M23*INPUT!$B$10+M24*INPUT!$B$12</f>
        <v>119522.645468929</v>
      </c>
      <c r="O28" s="10" t="n">
        <f aca="false">O22*INPUT!$B$10*(1-INPUT!$B$13)+O22*INPUT!$B$12*INPUT!$B$13+N23*INPUT!$B$10+N24*INPUT!$B$12</f>
        <v>135358.245235117</v>
      </c>
      <c r="P28" s="10" t="n">
        <f aca="false">P22*INPUT!$B$10*(1-INPUT!$B$13)+P22*INPUT!$B$12*INPUT!$B$13+O23*INPUT!$B$10+O24*INPUT!$B$12</f>
        <v>149945.907306594</v>
      </c>
      <c r="Q28" s="10" t="n">
        <f aca="false">Q22*INPUT!$B$10*(1-INPUT!$B$13)+Q22*INPUT!$B$12*INPUT!$B$13+P23*INPUT!$B$10+P24*INPUT!$B$12</f>
        <v>163419.075849793</v>
      </c>
      <c r="R28" s="10" t="n">
        <f aca="false">R22*INPUT!$B$10*(1-INPUT!$B$13)+R22*INPUT!$B$12*INPUT!$B$13+Q23*INPUT!$B$10+Q24*INPUT!$B$12</f>
        <v>175895.5894401</v>
      </c>
      <c r="S28" s="10" t="n">
        <f aca="false">S22*INPUT!$B$10*(1-INPUT!$B$13)+S22*INPUT!$B$12*INPUT!$B$13+R23*INPUT!$B$10+R24*INPUT!$B$12</f>
        <v>187479.543540056</v>
      </c>
      <c r="T28" s="10" t="n">
        <f aca="false">T22*INPUT!$B$10*(1-INPUT!$B$13)+T22*INPUT!$B$12*INPUT!$B$13+S23*INPUT!$B$10+S24*INPUT!$B$12</f>
        <v>198262.92973499</v>
      </c>
      <c r="U28" s="10" t="n">
        <f aca="false">U22*INPUT!$B$10*(1-INPUT!$B$13)+U22*INPUT!$B$12*INPUT!$B$13+T23*INPUT!$B$10+T24*INPUT!$B$12</f>
        <v>208327.078508831</v>
      </c>
      <c r="V28" s="10" t="n">
        <f aca="false">V22*INPUT!$B$10*(1-INPUT!$B$13)+V22*INPUT!$B$12*INPUT!$B$13+U23*INPUT!$B$10+U24*INPUT!$B$12</f>
        <v>217743.929129052</v>
      </c>
      <c r="W28" s="10" t="n">
        <f aca="false">W22*INPUT!$B$10*(1-INPUT!$B$13)+W22*INPUT!$B$12*INPUT!$B$13+V23*INPUT!$B$10+V24*INPUT!$B$12</f>
        <v>226577.147381607</v>
      </c>
      <c r="X28" s="10" t="n">
        <f aca="false">X22*INPUT!$B$10*(1-INPUT!$B$13)+X22*INPUT!$B$12*INPUT!$B$13+W23*INPUT!$B$10+W24*INPUT!$B$12</f>
        <v>234883.109407946</v>
      </c>
      <c r="Y28" s="10" t="n">
        <f aca="false">Y22*INPUT!$B$10*(1-INPUT!$B$13)+Y22*INPUT!$B$12*INPUT!$B$13+X23*INPUT!$B$10+X24*INPUT!$B$12</f>
        <v>242711.767706114</v>
      </c>
      <c r="Z28" s="10" t="n">
        <f aca="false">Z22*INPUT!$B$10*(1-INPUT!$B$13)+Z22*INPUT!$B$12*INPUT!$B$13+Y23*INPUT!$B$10+Y24*INPUT!$B$12</f>
        <v>275908.279231481</v>
      </c>
      <c r="AA28" s="10" t="n">
        <f aca="false">AA22*INPUT!$B$10*(1-INPUT!$B$13)+AA22*INPUT!$B$12*INPUT!$B$13+Z23*INPUT!$B$10+Z24*INPUT!$B$12</f>
        <v>294735.610056001</v>
      </c>
      <c r="AB28" s="10" t="n">
        <f aca="false">AB22*INPUT!$B$10*(1-INPUT!$B$13)+AB22*INPUT!$B$12*INPUT!$B$13+AA23*INPUT!$B$10+AA24*INPUT!$B$12</f>
        <v>312193.596507614</v>
      </c>
      <c r="AC28" s="10" t="n">
        <f aca="false">AC22*INPUT!$B$10*(1-INPUT!$B$13)+AC22*INPUT!$B$12*INPUT!$B$13+AB23*INPUT!$B$10+AB24*INPUT!$B$12</f>
        <v>328424.311527919</v>
      </c>
      <c r="AD28" s="10" t="n">
        <f aca="false">AD22*INPUT!$B$10*(1-INPUT!$B$13)+AD22*INPUT!$B$12*INPUT!$B$13+AC23*INPUT!$B$10+AC24*INPUT!$B$12</f>
        <v>343553.3355151</v>
      </c>
      <c r="AE28" s="10" t="n">
        <f aca="false">AE22*INPUT!$B$10*(1-INPUT!$B$13)+AE22*INPUT!$B$12*INPUT!$B$13+AD23*INPUT!$B$10+AD24*INPUT!$B$12</f>
        <v>357691.721523899</v>
      </c>
      <c r="AF28" s="10" t="n">
        <f aca="false">AF22*INPUT!$B$10*(1-INPUT!$B$13)+AF22*INPUT!$B$12*INPUT!$B$13+AE23*INPUT!$B$10+AE24*INPUT!$B$12</f>
        <v>370937.724989221</v>
      </c>
      <c r="AG28" s="10" t="n">
        <f aca="false">AG22*INPUT!$B$10*(1-INPUT!$B$13)+AG22*INPUT!$B$12*INPUT!$B$13+AF23*INPUT!$B$10+AF24*INPUT!$B$12</f>
        <v>383378.326221843</v>
      </c>
      <c r="AH28" s="10" t="n">
        <f aca="false">AH22*INPUT!$B$10*(1-INPUT!$B$13)+AH22*INPUT!$B$12*INPUT!$B$13+AG23*INPUT!$B$10+AG24*INPUT!$B$12</f>
        <v>395090.57053511</v>
      </c>
      <c r="AI28" s="10" t="n">
        <f aca="false">AI22*INPUT!$B$10*(1-INPUT!$B$13)+AI22*INPUT!$B$12*INPUT!$B$13+AH23*INPUT!$B$10+AH24*INPUT!$B$12</f>
        <v>406142.747878632</v>
      </c>
      <c r="AJ28" s="10" t="n">
        <f aca="false">AJ22*INPUT!$B$10*(1-INPUT!$B$13)+AJ22*INPUT!$B$12*INPUT!$B$13+AI23*INPUT!$B$10+AI24*INPUT!$B$12</f>
        <v>416595.431230081</v>
      </c>
      <c r="AK28" s="10" t="n">
        <f aca="false">AK22*INPUT!$B$10*(1-INPUT!$B$13)+AK22*INPUT!$B$12*INPUT!$B$13+AJ23*INPUT!$B$10+AJ24*INPUT!$B$12</f>
        <v>426502.390686277</v>
      </c>
      <c r="AL28" s="10" t="n">
        <f aca="false">AL22*INPUT!$B$10*(1-INPUT!$B$13)+AL22*INPUT!$B$12*INPUT!$B$13+AK23*INPUT!$B$10+AK24*INPUT!$B$12</f>
        <v>474811.165061745</v>
      </c>
      <c r="AM28" s="10" t="n">
        <f aca="false">AM22*INPUT!$B$10*(1-INPUT!$B$13)+AM22*INPUT!$B$12*INPUT!$B$13+AL23*INPUT!$B$10+AL24*INPUT!$B$12</f>
        <v>501593.762544814</v>
      </c>
      <c r="AN28" s="10" t="n">
        <f aca="false">AN22*INPUT!$B$10*(1-INPUT!$B$13)+AN22*INPUT!$B$12*INPUT!$B$13+AM23*INPUT!$B$10+AM24*INPUT!$B$12</f>
        <v>526435.132104335</v>
      </c>
      <c r="AO28" s="10" t="n">
        <f aca="false">AO22*INPUT!$B$10*(1-INPUT!$B$13)+AO22*INPUT!$B$12*INPUT!$B$13+AN23*INPUT!$B$10+AN24*INPUT!$B$12</f>
        <v>549536.403996773</v>
      </c>
      <c r="AP28" s="10" t="n">
        <f aca="false">AP22*INPUT!$B$10*(1-INPUT!$B$13)+AP22*INPUT!$B$12*INPUT!$B$13+AO23*INPUT!$B$10+AO24*INPUT!$B$12</f>
        <v>571075.368275177</v>
      </c>
      <c r="AQ28" s="10" t="n">
        <f aca="false">AQ22*INPUT!$B$10*(1-INPUT!$B$13)+AQ22*INPUT!$B$12*INPUT!$B$13+AP23*INPUT!$B$10+AP24*INPUT!$B$12</f>
        <v>591209.255727904</v>
      </c>
      <c r="AR28" s="10" t="n">
        <f aca="false">AR22*INPUT!$B$10*(1-INPUT!$B$13)+AR22*INPUT!$B$12*INPUT!$B$13+AQ23*INPUT!$B$10+AQ24*INPUT!$B$12</f>
        <v>610077.185601843</v>
      </c>
      <c r="AS28" s="10" t="n">
        <f aca="false">AS22*INPUT!$B$10*(1-INPUT!$B$13)+AS22*INPUT!$B$12*INPUT!$B$13+AR23*INPUT!$B$10+AR24*INPUT!$B$12</f>
        <v>627802.320083559</v>
      </c>
      <c r="AT28" s="10" t="n">
        <f aca="false">AT22*INPUT!$B$10*(1-INPUT!$B$13)+AT22*INPUT!$B$12*INPUT!$B$13+AS23*INPUT!$B$10+AS24*INPUT!$B$12</f>
        <v>644493.760715302</v>
      </c>
      <c r="AU28" s="10" t="n">
        <f aca="false">AU22*INPUT!$B$10*(1-INPUT!$B$13)+AU22*INPUT!$B$12*INPUT!$B$13+AT23*INPUT!$B$10+AT24*INPUT!$B$12</f>
        <v>660248.217701875</v>
      </c>
      <c r="AV28" s="10" t="n">
        <f aca="false">AV22*INPUT!$B$10*(1-INPUT!$B$13)+AV22*INPUT!$B$12*INPUT!$B$13+AU23*INPUT!$B$10+AU24*INPUT!$B$12</f>
        <v>675151.47934993</v>
      </c>
      <c r="AW28" s="10" t="n">
        <f aca="false">AW22*INPUT!$B$10*(1-INPUT!$B$13)+AW22*INPUT!$B$12*INPUT!$B$13+AV23*INPUT!$B$10+AV24*INPUT!$B$12</f>
        <v>689279.705612595</v>
      </c>
      <c r="AX28" s="10" t="n">
        <f aca="false">AX22*INPUT!$B$10*(1-INPUT!$B$13)+AX22*INPUT!$B$12*INPUT!$B$13+AW23*INPUT!$B$10+AW24*INPUT!$B$12</f>
        <v>740558.375693614</v>
      </c>
      <c r="AY28" s="10" t="n">
        <f aca="false">AY22*INPUT!$B$10*(1-INPUT!$B$13)+AY22*INPUT!$B$12*INPUT!$B$13+AX23*INPUT!$B$10+AX24*INPUT!$B$12</f>
        <v>770683.550855799</v>
      </c>
      <c r="AZ28" s="10" t="n">
        <f aca="false">AZ22*INPUT!$B$10*(1-INPUT!$B$13)+AZ22*INPUT!$B$12*INPUT!$B$13+AY23*INPUT!$B$10+AY24*INPUT!$B$12</f>
        <v>798732.358825719</v>
      </c>
      <c r="BA28" s="10" t="n">
        <f aca="false">BA22*INPUT!$B$10*(1-INPUT!$B$13)+BA22*INPUT!$B$12*INPUT!$B$13+AZ23*INPUT!$B$10+AZ24*INPUT!$B$12</f>
        <v>824915.497320767</v>
      </c>
      <c r="BB28" s="10" t="n">
        <f aca="false">BB22*INPUT!$B$10*(1-INPUT!$B$13)+BB22*INPUT!$B$12*INPUT!$B$13+BA23*INPUT!$B$10+BA24*INPUT!$B$12</f>
        <v>849419.34199089</v>
      </c>
      <c r="BC28" s="10" t="n">
        <f aca="false">BC22*INPUT!$B$10*(1-INPUT!$B$13)+BC22*INPUT!$B$12*INPUT!$B$13+BB23*INPUT!$B$10+BB24*INPUT!$B$12</f>
        <v>872408.841025215</v>
      </c>
      <c r="BD28" s="10" t="n">
        <f aca="false">BD22*INPUT!$B$10*(1-INPUT!$B$13)+BD22*INPUT!$B$12*INPUT!$B$13+BC23*INPUT!$B$10+BC24*INPUT!$B$12</f>
        <v>894030.063006924</v>
      </c>
      <c r="BE28" s="10" t="n">
        <f aca="false">BE22*INPUT!$B$10*(1-INPUT!$B$13)+BE22*INPUT!$B$12*INPUT!$B$13+BD23*INPUT!$B$10+BD24*INPUT!$B$12</f>
        <v>914412.439611543</v>
      </c>
      <c r="BF28" s="10" t="n">
        <f aca="false">BF22*INPUT!$B$10*(1-INPUT!$B$13)+BF22*INPUT!$B$12*INPUT!$B$13+BE23*INPUT!$B$10+BE24*INPUT!$B$12</f>
        <v>933670.739752805</v>
      </c>
      <c r="BG28" s="10" t="n">
        <f aca="false">BG22*INPUT!$B$10*(1-INPUT!$B$13)+BG22*INPUT!$B$12*INPUT!$B$13+BF23*INPUT!$B$10+BF24*INPUT!$B$12</f>
        <v>951906.807388082</v>
      </c>
      <c r="BH28" s="10" t="n">
        <f aca="false">BH22*INPUT!$B$10*(1-INPUT!$B$13)+BH22*INPUT!$B$12*INPUT!$B$13+BG23*INPUT!$B$10+BG24*INPUT!$B$12</f>
        <v>969211.09133032</v>
      </c>
      <c r="BI28" s="10" t="n">
        <f aca="false">BI22*INPUT!$B$10*(1-INPUT!$B$13)+BI22*INPUT!$B$12*INPUT!$B$13+BH23*INPUT!$B$10+BH24*INPUT!$B$12</f>
        <v>985663.992012102</v>
      </c>
    </row>
    <row r="29" customFormat="false" ht="15" hidden="false" customHeight="true" outlineLevel="0" collapsed="false">
      <c r="A29" s="7" t="s">
        <v>409</v>
      </c>
      <c r="B29" s="8"/>
      <c r="C29" s="8"/>
      <c r="D29" s="8"/>
      <c r="E29" s="8"/>
      <c r="F29" s="8"/>
      <c r="G29" s="8"/>
    </row>
    <row r="30" customFormat="false" ht="15" hidden="false" customHeight="true" outlineLevel="0" collapsed="false">
      <c r="A30" s="11" t="s">
        <v>410</v>
      </c>
      <c r="B30" s="12" t="n">
        <f aca="false">(INDEX(INPUT!$B$31:$G$31,1,B$4+1)+(INDEX(INPUT!$B$31:$G$31,1,B$4+2)-INDEX(INPUT!$B$31:$G$31,1,B$4+1))*B$5)*B16</f>
        <v>5.41666666666667</v>
      </c>
      <c r="C30" s="12" t="n">
        <f aca="false">(INDEX(INPUT!$B$31:$G$31,1,C$4+1)+(INDEX(INPUT!$B$31:$G$31,1,C$4+2)-INDEX(INPUT!$B$31:$G$31,1,C$4+1))*C$5)*C16</f>
        <v>5.83333333333333</v>
      </c>
      <c r="D30" s="12" t="n">
        <f aca="false">(INDEX(INPUT!$B$31:$G$31,1,D$4+1)+(INDEX(INPUT!$B$31:$G$31,1,D$4+2)-INDEX(INPUT!$B$31:$G$31,1,D$4+1))*D$5)*D16</f>
        <v>6.25</v>
      </c>
      <c r="E30" s="12" t="n">
        <f aca="false">(INDEX(INPUT!$B$31:$G$31,1,E$4+1)+(INDEX(INPUT!$B$31:$G$31,1,E$4+2)-INDEX(INPUT!$B$31:$G$31,1,E$4+1))*E$5)*E16</f>
        <v>6.66666666666667</v>
      </c>
      <c r="F30" s="12" t="n">
        <f aca="false">(INDEX(INPUT!$B$31:$G$31,1,F$4+1)+(INDEX(INPUT!$B$31:$G$31,1,F$4+2)-INDEX(INPUT!$B$31:$G$31,1,F$4+1))*F$5)*F16</f>
        <v>7.08333333333333</v>
      </c>
      <c r="G30" s="12" t="n">
        <f aca="false">(INDEX(INPUT!$B$31:$G$31,1,G$4+1)+(INDEX(INPUT!$B$31:$G$31,1,G$4+2)-INDEX(INPUT!$B$31:$G$31,1,G$4+1))*G$5)*G16</f>
        <v>7.5</v>
      </c>
      <c r="H30" s="12" t="n">
        <f aca="false">(INDEX(INPUT!$B$31:$G$31,1,H$4+1)+(INDEX(INPUT!$B$31:$G$31,1,H$4+2)-INDEX(INPUT!$B$31:$G$31,1,H$4+1))*H$5)*H16</f>
        <v>7.91666666666667</v>
      </c>
      <c r="I30" s="12" t="n">
        <f aca="false">(INDEX(INPUT!$B$31:$G$31,1,I$4+1)+(INDEX(INPUT!$B$31:$G$31,1,I$4+2)-INDEX(INPUT!$B$31:$G$31,1,I$4+1))*I$5)*I16</f>
        <v>8.33333333333333</v>
      </c>
      <c r="J30" s="12" t="n">
        <f aca="false">(INDEX(INPUT!$B$31:$G$31,1,J$4+1)+(INDEX(INPUT!$B$31:$G$31,1,J$4+2)-INDEX(INPUT!$B$31:$G$31,1,J$4+1))*J$5)*J16</f>
        <v>8.75</v>
      </c>
      <c r="K30" s="12" t="n">
        <f aca="false">(INDEX(INPUT!$B$31:$G$31,1,K$4+1)+(INDEX(INPUT!$B$31:$G$31,1,K$4+2)-INDEX(INPUT!$B$31:$G$31,1,K$4+1))*K$5)*K16</f>
        <v>9.16666666666667</v>
      </c>
      <c r="L30" s="12" t="n">
        <f aca="false">(INDEX(INPUT!$B$31:$G$31,1,L$4+1)+(INDEX(INPUT!$B$31:$G$31,1,L$4+2)-INDEX(INPUT!$B$31:$G$31,1,L$4+1))*L$5)*L16</f>
        <v>9.58333333333333</v>
      </c>
      <c r="M30" s="12" t="n">
        <f aca="false">(INDEX(INPUT!$B$31:$G$31,1,M$4+1)+(INDEX(INPUT!$B$31:$G$31,1,M$4+2)-INDEX(INPUT!$B$31:$G$31,1,M$4+1))*M$5)*M16</f>
        <v>10</v>
      </c>
      <c r="N30" s="12" t="n">
        <f aca="false">(INDEX(INPUT!$B$31:$G$31,1,N$4+1)+(INDEX(INPUT!$B$31:$G$31,1,N$4+2)-INDEX(INPUT!$B$31:$G$31,1,N$4+1))*N$5)*N16</f>
        <v>11</v>
      </c>
      <c r="O30" s="12" t="n">
        <f aca="false">(INDEX(INPUT!$B$31:$G$31,1,O$4+1)+(INDEX(INPUT!$B$31:$G$31,1,O$4+2)-INDEX(INPUT!$B$31:$G$31,1,O$4+1))*O$5)*O16</f>
        <v>12</v>
      </c>
      <c r="P30" s="12" t="n">
        <f aca="false">(INDEX(INPUT!$B$31:$G$31,1,P$4+1)+(INDEX(INPUT!$B$31:$G$31,1,P$4+2)-INDEX(INPUT!$B$31:$G$31,1,P$4+1))*P$5)*P16</f>
        <v>13</v>
      </c>
      <c r="Q30" s="12" t="n">
        <f aca="false">(INDEX(INPUT!$B$31:$G$31,1,Q$4+1)+(INDEX(INPUT!$B$31:$G$31,1,Q$4+2)-INDEX(INPUT!$B$31:$G$31,1,Q$4+1))*Q$5)*Q16</f>
        <v>14</v>
      </c>
      <c r="R30" s="12" t="n">
        <f aca="false">(INDEX(INPUT!$B$31:$G$31,1,R$4+1)+(INDEX(INPUT!$B$31:$G$31,1,R$4+2)-INDEX(INPUT!$B$31:$G$31,1,R$4+1))*R$5)*R16</f>
        <v>15</v>
      </c>
      <c r="S30" s="12" t="n">
        <f aca="false">(INDEX(INPUT!$B$31:$G$31,1,S$4+1)+(INDEX(INPUT!$B$31:$G$31,1,S$4+2)-INDEX(INPUT!$B$31:$G$31,1,S$4+1))*S$5)*S16</f>
        <v>16</v>
      </c>
      <c r="T30" s="12" t="n">
        <f aca="false">(INDEX(INPUT!$B$31:$G$31,1,T$4+1)+(INDEX(INPUT!$B$31:$G$31,1,T$4+2)-INDEX(INPUT!$B$31:$G$31,1,T$4+1))*T$5)*T16</f>
        <v>17</v>
      </c>
      <c r="U30" s="12" t="n">
        <f aca="false">(INDEX(INPUT!$B$31:$G$31,1,U$4+1)+(INDEX(INPUT!$B$31:$G$31,1,U$4+2)-INDEX(INPUT!$B$31:$G$31,1,U$4+1))*U$5)*U16</f>
        <v>18</v>
      </c>
      <c r="V30" s="12" t="n">
        <f aca="false">(INDEX(INPUT!$B$31:$G$31,1,V$4+1)+(INDEX(INPUT!$B$31:$G$31,1,V$4+2)-INDEX(INPUT!$B$31:$G$31,1,V$4+1))*V$5)*V16</f>
        <v>19</v>
      </c>
      <c r="W30" s="12" t="n">
        <f aca="false">(INDEX(INPUT!$B$31:$G$31,1,W$4+1)+(INDEX(INPUT!$B$31:$G$31,1,W$4+2)-INDEX(INPUT!$B$31:$G$31,1,W$4+1))*W$5)*W16</f>
        <v>20</v>
      </c>
      <c r="X30" s="12" t="n">
        <f aca="false">(INDEX(INPUT!$B$31:$G$31,1,X$4+1)+(INDEX(INPUT!$B$31:$G$31,1,X$4+2)-INDEX(INPUT!$B$31:$G$31,1,X$4+1))*X$5)*X16</f>
        <v>21</v>
      </c>
      <c r="Y30" s="12" t="n">
        <f aca="false">(INDEX(INPUT!$B$31:$G$31,1,Y$4+1)+(INDEX(INPUT!$B$31:$G$31,1,Y$4+2)-INDEX(INPUT!$B$31:$G$31,1,Y$4+1))*Y$5)*Y16</f>
        <v>22</v>
      </c>
      <c r="Z30" s="12" t="n">
        <f aca="false">(INDEX(INPUT!$B$31:$G$31,1,Z$4+1)+(INDEX(INPUT!$B$31:$G$31,1,Z$4+2)-INDEX(INPUT!$B$31:$G$31,1,Z$4+1))*Z$5)*Z16</f>
        <v>22.8333333333333</v>
      </c>
      <c r="AA30" s="12" t="n">
        <f aca="false">(INDEX(INPUT!$B$31:$G$31,1,AA$4+1)+(INDEX(INPUT!$B$31:$G$31,1,AA$4+2)-INDEX(INPUT!$B$31:$G$31,1,AA$4+1))*AA$5)*AA16</f>
        <v>23.6666666666667</v>
      </c>
      <c r="AB30" s="12" t="n">
        <f aca="false">(INDEX(INPUT!$B$31:$G$31,1,AB$4+1)+(INDEX(INPUT!$B$31:$G$31,1,AB$4+2)-INDEX(INPUT!$B$31:$G$31,1,AB$4+1))*AB$5)*AB16</f>
        <v>24.5</v>
      </c>
      <c r="AC30" s="12" t="n">
        <f aca="false">(INDEX(INPUT!$B$31:$G$31,1,AC$4+1)+(INDEX(INPUT!$B$31:$G$31,1,AC$4+2)-INDEX(INPUT!$B$31:$G$31,1,AC$4+1))*AC$5)*AC16</f>
        <v>25.3333333333333</v>
      </c>
      <c r="AD30" s="12" t="n">
        <f aca="false">(INDEX(INPUT!$B$31:$G$31,1,AD$4+1)+(INDEX(INPUT!$B$31:$G$31,1,AD$4+2)-INDEX(INPUT!$B$31:$G$31,1,AD$4+1))*AD$5)*AD16</f>
        <v>26.1666666666667</v>
      </c>
      <c r="AE30" s="12" t="n">
        <f aca="false">(INDEX(INPUT!$B$31:$G$31,1,AE$4+1)+(INDEX(INPUT!$B$31:$G$31,1,AE$4+2)-INDEX(INPUT!$B$31:$G$31,1,AE$4+1))*AE$5)*AE16</f>
        <v>27</v>
      </c>
      <c r="AF30" s="12" t="n">
        <f aca="false">(INDEX(INPUT!$B$31:$G$31,1,AF$4+1)+(INDEX(INPUT!$B$31:$G$31,1,AF$4+2)-INDEX(INPUT!$B$31:$G$31,1,AF$4+1))*AF$5)*AF16</f>
        <v>27.8333333333333</v>
      </c>
      <c r="AG30" s="12" t="n">
        <f aca="false">(INDEX(INPUT!$B$31:$G$31,1,AG$4+1)+(INDEX(INPUT!$B$31:$G$31,1,AG$4+2)-INDEX(INPUT!$B$31:$G$31,1,AG$4+1))*AG$5)*AG16</f>
        <v>28.6666666666667</v>
      </c>
      <c r="AH30" s="12" t="n">
        <f aca="false">(INDEX(INPUT!$B$31:$G$31,1,AH$4+1)+(INDEX(INPUT!$B$31:$G$31,1,AH$4+2)-INDEX(INPUT!$B$31:$G$31,1,AH$4+1))*AH$5)*AH16</f>
        <v>29.5</v>
      </c>
      <c r="AI30" s="12" t="n">
        <f aca="false">(INDEX(INPUT!$B$31:$G$31,1,AI$4+1)+(INDEX(INPUT!$B$31:$G$31,1,AI$4+2)-INDEX(INPUT!$B$31:$G$31,1,AI$4+1))*AI$5)*AI16</f>
        <v>30.3333333333333</v>
      </c>
      <c r="AJ30" s="12" t="n">
        <f aca="false">(INDEX(INPUT!$B$31:$G$31,1,AJ$4+1)+(INDEX(INPUT!$B$31:$G$31,1,AJ$4+2)-INDEX(INPUT!$B$31:$G$31,1,AJ$4+1))*AJ$5)*AJ16</f>
        <v>31.1666666666667</v>
      </c>
      <c r="AK30" s="12" t="n">
        <f aca="false">(INDEX(INPUT!$B$31:$G$31,1,AK$4+1)+(INDEX(INPUT!$B$31:$G$31,1,AK$4+2)-INDEX(INPUT!$B$31:$G$31,1,AK$4+1))*AK$5)*AK16</f>
        <v>32</v>
      </c>
      <c r="AL30" s="12" t="n">
        <f aca="false">(INDEX(INPUT!$B$31:$G$31,1,AL$4+1)+(INDEX(INPUT!$B$31:$G$31,1,AL$4+2)-INDEX(INPUT!$B$31:$G$31,1,AL$4+1))*AL$5)*AL16</f>
        <v>32.6666666666667</v>
      </c>
      <c r="AM30" s="12" t="n">
        <f aca="false">(INDEX(INPUT!$B$31:$G$31,1,AM$4+1)+(INDEX(INPUT!$B$31:$G$31,1,AM$4+2)-INDEX(INPUT!$B$31:$G$31,1,AM$4+1))*AM$5)*AM16</f>
        <v>33.3333333333333</v>
      </c>
      <c r="AN30" s="12" t="n">
        <f aca="false">(INDEX(INPUT!$B$31:$G$31,1,AN$4+1)+(INDEX(INPUT!$B$31:$G$31,1,AN$4+2)-INDEX(INPUT!$B$31:$G$31,1,AN$4+1))*AN$5)*AN16</f>
        <v>34</v>
      </c>
      <c r="AO30" s="12" t="n">
        <f aca="false">(INDEX(INPUT!$B$31:$G$31,1,AO$4+1)+(INDEX(INPUT!$B$31:$G$31,1,AO$4+2)-INDEX(INPUT!$B$31:$G$31,1,AO$4+1))*AO$5)*AO16</f>
        <v>34.6666666666667</v>
      </c>
      <c r="AP30" s="12" t="n">
        <f aca="false">(INDEX(INPUT!$B$31:$G$31,1,AP$4+1)+(INDEX(INPUT!$B$31:$G$31,1,AP$4+2)-INDEX(INPUT!$B$31:$G$31,1,AP$4+1))*AP$5)*AP16</f>
        <v>35.3333333333333</v>
      </c>
      <c r="AQ30" s="12" t="n">
        <f aca="false">(INDEX(INPUT!$B$31:$G$31,1,AQ$4+1)+(INDEX(INPUT!$B$31:$G$31,1,AQ$4+2)-INDEX(INPUT!$B$31:$G$31,1,AQ$4+1))*AQ$5)*AQ16</f>
        <v>36</v>
      </c>
      <c r="AR30" s="12" t="n">
        <f aca="false">(INDEX(INPUT!$B$31:$G$31,1,AR$4+1)+(INDEX(INPUT!$B$31:$G$31,1,AR$4+2)-INDEX(INPUT!$B$31:$G$31,1,AR$4+1))*AR$5)*AR16</f>
        <v>36.6666666666667</v>
      </c>
      <c r="AS30" s="12" t="n">
        <f aca="false">(INDEX(INPUT!$B$31:$G$31,1,AS$4+1)+(INDEX(INPUT!$B$31:$G$31,1,AS$4+2)-INDEX(INPUT!$B$31:$G$31,1,AS$4+1))*AS$5)*AS16</f>
        <v>37.3333333333333</v>
      </c>
      <c r="AT30" s="12" t="n">
        <f aca="false">(INDEX(INPUT!$B$31:$G$31,1,AT$4+1)+(INDEX(INPUT!$B$31:$G$31,1,AT$4+2)-INDEX(INPUT!$B$31:$G$31,1,AT$4+1))*AT$5)*AT16</f>
        <v>38</v>
      </c>
      <c r="AU30" s="12" t="n">
        <f aca="false">(INDEX(INPUT!$B$31:$G$31,1,AU$4+1)+(INDEX(INPUT!$B$31:$G$31,1,AU$4+2)-INDEX(INPUT!$B$31:$G$31,1,AU$4+1))*AU$5)*AU16</f>
        <v>38.6666666666667</v>
      </c>
      <c r="AV30" s="12" t="n">
        <f aca="false">(INDEX(INPUT!$B$31:$G$31,1,AV$4+1)+(INDEX(INPUT!$B$31:$G$31,1,AV$4+2)-INDEX(INPUT!$B$31:$G$31,1,AV$4+1))*AV$5)*AV16</f>
        <v>39.3333333333333</v>
      </c>
      <c r="AW30" s="12" t="n">
        <f aca="false">(INDEX(INPUT!$B$31:$G$31,1,AW$4+1)+(INDEX(INPUT!$B$31:$G$31,1,AW$4+2)-INDEX(INPUT!$B$31:$G$31,1,AW$4+1))*AW$5)*AW16</f>
        <v>40</v>
      </c>
      <c r="AX30" s="12" t="n">
        <f aca="false">(INDEX(INPUT!$B$31:$G$31,1,AX$4+1)+(INDEX(INPUT!$B$31:$G$31,1,AX$4+2)-INDEX(INPUT!$B$31:$G$31,1,AX$4+1))*AX$5)*AX16</f>
        <v>40.6666666666667</v>
      </c>
      <c r="AY30" s="12" t="n">
        <f aca="false">(INDEX(INPUT!$B$31:$G$31,1,AY$4+1)+(INDEX(INPUT!$B$31:$G$31,1,AY$4+2)-INDEX(INPUT!$B$31:$G$31,1,AY$4+1))*AY$5)*AY16</f>
        <v>41.3333333333333</v>
      </c>
      <c r="AZ30" s="12" t="n">
        <f aca="false">(INDEX(INPUT!$B$31:$G$31,1,AZ$4+1)+(INDEX(INPUT!$B$31:$G$31,1,AZ$4+2)-INDEX(INPUT!$B$31:$G$31,1,AZ$4+1))*AZ$5)*AZ16</f>
        <v>42</v>
      </c>
      <c r="BA30" s="12" t="n">
        <f aca="false">(INDEX(INPUT!$B$31:$G$31,1,BA$4+1)+(INDEX(INPUT!$B$31:$G$31,1,BA$4+2)-INDEX(INPUT!$B$31:$G$31,1,BA$4+1))*BA$5)*BA16</f>
        <v>42.6666666666667</v>
      </c>
      <c r="BB30" s="12" t="n">
        <f aca="false">(INDEX(INPUT!$B$31:$G$31,1,BB$4+1)+(INDEX(INPUT!$B$31:$G$31,1,BB$4+2)-INDEX(INPUT!$B$31:$G$31,1,BB$4+1))*BB$5)*BB16</f>
        <v>43.3333333333333</v>
      </c>
      <c r="BC30" s="12" t="n">
        <f aca="false">(INDEX(INPUT!$B$31:$G$31,1,BC$4+1)+(INDEX(INPUT!$B$31:$G$31,1,BC$4+2)-INDEX(INPUT!$B$31:$G$31,1,BC$4+1))*BC$5)*BC16</f>
        <v>44</v>
      </c>
      <c r="BD30" s="12" t="n">
        <f aca="false">(INDEX(INPUT!$B$31:$G$31,1,BD$4+1)+(INDEX(INPUT!$B$31:$G$31,1,BD$4+2)-INDEX(INPUT!$B$31:$G$31,1,BD$4+1))*BD$5)*BD16</f>
        <v>44.6666666666667</v>
      </c>
      <c r="BE30" s="12" t="n">
        <f aca="false">(INDEX(INPUT!$B$31:$G$31,1,BE$4+1)+(INDEX(INPUT!$B$31:$G$31,1,BE$4+2)-INDEX(INPUT!$B$31:$G$31,1,BE$4+1))*BE$5)*BE16</f>
        <v>45.3333333333333</v>
      </c>
      <c r="BF30" s="12" t="n">
        <f aca="false">(INDEX(INPUT!$B$31:$G$31,1,BF$4+1)+(INDEX(INPUT!$B$31:$G$31,1,BF$4+2)-INDEX(INPUT!$B$31:$G$31,1,BF$4+1))*BF$5)*BF16</f>
        <v>46</v>
      </c>
      <c r="BG30" s="12" t="n">
        <f aca="false">(INDEX(INPUT!$B$31:$G$31,1,BG$4+1)+(INDEX(INPUT!$B$31:$G$31,1,BG$4+2)-INDEX(INPUT!$B$31:$G$31,1,BG$4+1))*BG$5)*BG16</f>
        <v>46.6666666666667</v>
      </c>
      <c r="BH30" s="12" t="n">
        <f aca="false">(INDEX(INPUT!$B$31:$G$31,1,BH$4+1)+(INDEX(INPUT!$B$31:$G$31,1,BH$4+2)-INDEX(INPUT!$B$31:$G$31,1,BH$4+1))*BH$5)*BH16</f>
        <v>47.3333333333333</v>
      </c>
      <c r="BI30" s="12" t="n">
        <f aca="false">(INDEX(INPUT!$B$31:$G$31,1,BI$4+1)+(INDEX(INPUT!$B$31:$G$31,1,BI$4+2)-INDEX(INPUT!$B$31:$G$31,1,BI$4+1))*BI$5)*BI16</f>
        <v>48</v>
      </c>
    </row>
    <row r="31" customFormat="false" ht="15" hidden="false" customHeight="true" outlineLevel="0" collapsed="false">
      <c r="A31" s="11" t="s">
        <v>411</v>
      </c>
      <c r="B31" s="12" t="n">
        <f aca="false">(INDEX(INPUT!$B$32:$G$32,1,B$4+1)+(INDEX(INPUT!$B$32:$G$32,1,B$4+2)-INDEX(INPUT!$B$32:$G$32,1,B$4+1))*B$5)*B16</f>
        <v>1.25</v>
      </c>
      <c r="C31" s="12" t="n">
        <f aca="false">(INDEX(INPUT!$B$32:$G$32,1,C$4+1)+(INDEX(INPUT!$B$32:$G$32,1,C$4+2)-INDEX(INPUT!$B$32:$G$32,1,C$4+1))*C$5)*C16</f>
        <v>2.5</v>
      </c>
      <c r="D31" s="12" t="n">
        <f aca="false">(INDEX(INPUT!$B$32:$G$32,1,D$4+1)+(INDEX(INPUT!$B$32:$G$32,1,D$4+2)-INDEX(INPUT!$B$32:$G$32,1,D$4+1))*D$5)*D16</f>
        <v>3.75</v>
      </c>
      <c r="E31" s="12" t="n">
        <f aca="false">(INDEX(INPUT!$B$32:$G$32,1,E$4+1)+(INDEX(INPUT!$B$32:$G$32,1,E$4+2)-INDEX(INPUT!$B$32:$G$32,1,E$4+1))*E$5)*E16</f>
        <v>5</v>
      </c>
      <c r="F31" s="12" t="n">
        <f aca="false">(INDEX(INPUT!$B$32:$G$32,1,F$4+1)+(INDEX(INPUT!$B$32:$G$32,1,F$4+2)-INDEX(INPUT!$B$32:$G$32,1,F$4+1))*F$5)*F16</f>
        <v>6.25</v>
      </c>
      <c r="G31" s="12" t="n">
        <f aca="false">(INDEX(INPUT!$B$32:$G$32,1,G$4+1)+(INDEX(INPUT!$B$32:$G$32,1,G$4+2)-INDEX(INPUT!$B$32:$G$32,1,G$4+1))*G$5)*G16</f>
        <v>7.5</v>
      </c>
      <c r="H31" s="12" t="n">
        <f aca="false">(INDEX(INPUT!$B$32:$G$32,1,H$4+1)+(INDEX(INPUT!$B$32:$G$32,1,H$4+2)-INDEX(INPUT!$B$32:$G$32,1,H$4+1))*H$5)*H16</f>
        <v>8.75</v>
      </c>
      <c r="I31" s="12" t="n">
        <f aca="false">(INDEX(INPUT!$B$32:$G$32,1,I$4+1)+(INDEX(INPUT!$B$32:$G$32,1,I$4+2)-INDEX(INPUT!$B$32:$G$32,1,I$4+1))*I$5)*I16</f>
        <v>10</v>
      </c>
      <c r="J31" s="12" t="n">
        <f aca="false">(INDEX(INPUT!$B$32:$G$32,1,J$4+1)+(INDEX(INPUT!$B$32:$G$32,1,J$4+2)-INDEX(INPUT!$B$32:$G$32,1,J$4+1))*J$5)*J16</f>
        <v>11.25</v>
      </c>
      <c r="K31" s="12" t="n">
        <f aca="false">(INDEX(INPUT!$B$32:$G$32,1,K$4+1)+(INDEX(INPUT!$B$32:$G$32,1,K$4+2)-INDEX(INPUT!$B$32:$G$32,1,K$4+1))*K$5)*K16</f>
        <v>12.5</v>
      </c>
      <c r="L31" s="12" t="n">
        <f aca="false">(INDEX(INPUT!$B$32:$G$32,1,L$4+1)+(INDEX(INPUT!$B$32:$G$32,1,L$4+2)-INDEX(INPUT!$B$32:$G$32,1,L$4+1))*L$5)*L16</f>
        <v>13.75</v>
      </c>
      <c r="M31" s="12" t="n">
        <f aca="false">(INDEX(INPUT!$B$32:$G$32,1,M$4+1)+(INDEX(INPUT!$B$32:$G$32,1,M$4+2)-INDEX(INPUT!$B$32:$G$32,1,M$4+1))*M$5)*M16</f>
        <v>15</v>
      </c>
      <c r="N31" s="12" t="n">
        <f aca="false">(INDEX(INPUT!$B$32:$G$32,1,N$4+1)+(INDEX(INPUT!$B$32:$G$32,1,N$4+2)-INDEX(INPUT!$B$32:$G$32,1,N$4+1))*N$5)*N16</f>
        <v>17.0833333333333</v>
      </c>
      <c r="O31" s="12" t="n">
        <f aca="false">(INDEX(INPUT!$B$32:$G$32,1,O$4+1)+(INDEX(INPUT!$B$32:$G$32,1,O$4+2)-INDEX(INPUT!$B$32:$G$32,1,O$4+1))*O$5)*O16</f>
        <v>19.1666666666667</v>
      </c>
      <c r="P31" s="12" t="n">
        <f aca="false">(INDEX(INPUT!$B$32:$G$32,1,P$4+1)+(INDEX(INPUT!$B$32:$G$32,1,P$4+2)-INDEX(INPUT!$B$32:$G$32,1,P$4+1))*P$5)*P16</f>
        <v>21.25</v>
      </c>
      <c r="Q31" s="12" t="n">
        <f aca="false">(INDEX(INPUT!$B$32:$G$32,1,Q$4+1)+(INDEX(INPUT!$B$32:$G$32,1,Q$4+2)-INDEX(INPUT!$B$32:$G$32,1,Q$4+1))*Q$5)*Q16</f>
        <v>23.3333333333333</v>
      </c>
      <c r="R31" s="12" t="n">
        <f aca="false">(INDEX(INPUT!$B$32:$G$32,1,R$4+1)+(INDEX(INPUT!$B$32:$G$32,1,R$4+2)-INDEX(INPUT!$B$32:$G$32,1,R$4+1))*R$5)*R16</f>
        <v>25.4166666666667</v>
      </c>
      <c r="S31" s="12" t="n">
        <f aca="false">(INDEX(INPUT!$B$32:$G$32,1,S$4+1)+(INDEX(INPUT!$B$32:$G$32,1,S$4+2)-INDEX(INPUT!$B$32:$G$32,1,S$4+1))*S$5)*S16</f>
        <v>27.5</v>
      </c>
      <c r="T31" s="12" t="n">
        <f aca="false">(INDEX(INPUT!$B$32:$G$32,1,T$4+1)+(INDEX(INPUT!$B$32:$G$32,1,T$4+2)-INDEX(INPUT!$B$32:$G$32,1,T$4+1))*T$5)*T16</f>
        <v>29.5833333333333</v>
      </c>
      <c r="U31" s="12" t="n">
        <f aca="false">(INDEX(INPUT!$B$32:$G$32,1,U$4+1)+(INDEX(INPUT!$B$32:$G$32,1,U$4+2)-INDEX(INPUT!$B$32:$G$32,1,U$4+1))*U$5)*U16</f>
        <v>31.6666666666667</v>
      </c>
      <c r="V31" s="12" t="n">
        <f aca="false">(INDEX(INPUT!$B$32:$G$32,1,V$4+1)+(INDEX(INPUT!$B$32:$G$32,1,V$4+2)-INDEX(INPUT!$B$32:$G$32,1,V$4+1))*V$5)*V16</f>
        <v>33.75</v>
      </c>
      <c r="W31" s="12" t="n">
        <f aca="false">(INDEX(INPUT!$B$32:$G$32,1,W$4+1)+(INDEX(INPUT!$B$32:$G$32,1,W$4+2)-INDEX(INPUT!$B$32:$G$32,1,W$4+1))*W$5)*W16</f>
        <v>35.8333333333333</v>
      </c>
      <c r="X31" s="12" t="n">
        <f aca="false">(INDEX(INPUT!$B$32:$G$32,1,X$4+1)+(INDEX(INPUT!$B$32:$G$32,1,X$4+2)-INDEX(INPUT!$B$32:$G$32,1,X$4+1))*X$5)*X16</f>
        <v>37.9166666666667</v>
      </c>
      <c r="Y31" s="12" t="n">
        <f aca="false">(INDEX(INPUT!$B$32:$G$32,1,Y$4+1)+(INDEX(INPUT!$B$32:$G$32,1,Y$4+2)-INDEX(INPUT!$B$32:$G$32,1,Y$4+1))*Y$5)*Y16</f>
        <v>40</v>
      </c>
      <c r="Z31" s="12" t="n">
        <f aca="false">(INDEX(INPUT!$B$32:$G$32,1,Z$4+1)+(INDEX(INPUT!$B$32:$G$32,1,Z$4+2)-INDEX(INPUT!$B$32:$G$32,1,Z$4+1))*Z$5)*Z16</f>
        <v>42.9166666666667</v>
      </c>
      <c r="AA31" s="12" t="n">
        <f aca="false">(INDEX(INPUT!$B$32:$G$32,1,AA$4+1)+(INDEX(INPUT!$B$32:$G$32,1,AA$4+2)-INDEX(INPUT!$B$32:$G$32,1,AA$4+1))*AA$5)*AA16</f>
        <v>45.8333333333333</v>
      </c>
      <c r="AB31" s="12" t="n">
        <f aca="false">(INDEX(INPUT!$B$32:$G$32,1,AB$4+1)+(INDEX(INPUT!$B$32:$G$32,1,AB$4+2)-INDEX(INPUT!$B$32:$G$32,1,AB$4+1))*AB$5)*AB16</f>
        <v>48.75</v>
      </c>
      <c r="AC31" s="12" t="n">
        <f aca="false">(INDEX(INPUT!$B$32:$G$32,1,AC$4+1)+(INDEX(INPUT!$B$32:$G$32,1,AC$4+2)-INDEX(INPUT!$B$32:$G$32,1,AC$4+1))*AC$5)*AC16</f>
        <v>51.6666666666667</v>
      </c>
      <c r="AD31" s="12" t="n">
        <f aca="false">(INDEX(INPUT!$B$32:$G$32,1,AD$4+1)+(INDEX(INPUT!$B$32:$G$32,1,AD$4+2)-INDEX(INPUT!$B$32:$G$32,1,AD$4+1))*AD$5)*AD16</f>
        <v>54.5833333333333</v>
      </c>
      <c r="AE31" s="12" t="n">
        <f aca="false">(INDEX(INPUT!$B$32:$G$32,1,AE$4+1)+(INDEX(INPUT!$B$32:$G$32,1,AE$4+2)-INDEX(INPUT!$B$32:$G$32,1,AE$4+1))*AE$5)*AE16</f>
        <v>57.5</v>
      </c>
      <c r="AF31" s="12" t="n">
        <f aca="false">(INDEX(INPUT!$B$32:$G$32,1,AF$4+1)+(INDEX(INPUT!$B$32:$G$32,1,AF$4+2)-INDEX(INPUT!$B$32:$G$32,1,AF$4+1))*AF$5)*AF16</f>
        <v>60.4166666666667</v>
      </c>
      <c r="AG31" s="12" t="n">
        <f aca="false">(INDEX(INPUT!$B$32:$G$32,1,AG$4+1)+(INDEX(INPUT!$B$32:$G$32,1,AG$4+2)-INDEX(INPUT!$B$32:$G$32,1,AG$4+1))*AG$5)*AG16</f>
        <v>63.3333333333333</v>
      </c>
      <c r="AH31" s="12" t="n">
        <f aca="false">(INDEX(INPUT!$B$32:$G$32,1,AH$4+1)+(INDEX(INPUT!$B$32:$G$32,1,AH$4+2)-INDEX(INPUT!$B$32:$G$32,1,AH$4+1))*AH$5)*AH16</f>
        <v>66.25</v>
      </c>
      <c r="AI31" s="12" t="n">
        <f aca="false">(INDEX(INPUT!$B$32:$G$32,1,AI$4+1)+(INDEX(INPUT!$B$32:$G$32,1,AI$4+2)-INDEX(INPUT!$B$32:$G$32,1,AI$4+1))*AI$5)*AI16</f>
        <v>69.1666666666667</v>
      </c>
      <c r="AJ31" s="12" t="n">
        <f aca="false">(INDEX(INPUT!$B$32:$G$32,1,AJ$4+1)+(INDEX(INPUT!$B$32:$G$32,1,AJ$4+2)-INDEX(INPUT!$B$32:$G$32,1,AJ$4+1))*AJ$5)*AJ16</f>
        <v>72.0833333333333</v>
      </c>
      <c r="AK31" s="12" t="n">
        <f aca="false">(INDEX(INPUT!$B$32:$G$32,1,AK$4+1)+(INDEX(INPUT!$B$32:$G$32,1,AK$4+2)-INDEX(INPUT!$B$32:$G$32,1,AK$4+1))*AK$5)*AK16</f>
        <v>75</v>
      </c>
      <c r="AL31" s="12" t="n">
        <f aca="false">(INDEX(INPUT!$B$32:$G$32,1,AL$4+1)+(INDEX(INPUT!$B$32:$G$32,1,AL$4+2)-INDEX(INPUT!$B$32:$G$32,1,AL$4+1))*AL$5)*AL16</f>
        <v>77.9166666666667</v>
      </c>
      <c r="AM31" s="12" t="n">
        <f aca="false">(INDEX(INPUT!$B$32:$G$32,1,AM$4+1)+(INDEX(INPUT!$B$32:$G$32,1,AM$4+2)-INDEX(INPUT!$B$32:$G$32,1,AM$4+1))*AM$5)*AM16</f>
        <v>80.8333333333333</v>
      </c>
      <c r="AN31" s="12" t="n">
        <f aca="false">(INDEX(INPUT!$B$32:$G$32,1,AN$4+1)+(INDEX(INPUT!$B$32:$G$32,1,AN$4+2)-INDEX(INPUT!$B$32:$G$32,1,AN$4+1))*AN$5)*AN16</f>
        <v>83.75</v>
      </c>
      <c r="AO31" s="12" t="n">
        <f aca="false">(INDEX(INPUT!$B$32:$G$32,1,AO$4+1)+(INDEX(INPUT!$B$32:$G$32,1,AO$4+2)-INDEX(INPUT!$B$32:$G$32,1,AO$4+1))*AO$5)*AO16</f>
        <v>86.6666666666667</v>
      </c>
      <c r="AP31" s="12" t="n">
        <f aca="false">(INDEX(INPUT!$B$32:$G$32,1,AP$4+1)+(INDEX(INPUT!$B$32:$G$32,1,AP$4+2)-INDEX(INPUT!$B$32:$G$32,1,AP$4+1))*AP$5)*AP16</f>
        <v>89.5833333333333</v>
      </c>
      <c r="AQ31" s="12" t="n">
        <f aca="false">(INDEX(INPUT!$B$32:$G$32,1,AQ$4+1)+(INDEX(INPUT!$B$32:$G$32,1,AQ$4+2)-INDEX(INPUT!$B$32:$G$32,1,AQ$4+1))*AQ$5)*AQ16</f>
        <v>92.5</v>
      </c>
      <c r="AR31" s="12" t="n">
        <f aca="false">(INDEX(INPUT!$B$32:$G$32,1,AR$4+1)+(INDEX(INPUT!$B$32:$G$32,1,AR$4+2)-INDEX(INPUT!$B$32:$G$32,1,AR$4+1))*AR$5)*AR16</f>
        <v>95.4166666666667</v>
      </c>
      <c r="AS31" s="12" t="n">
        <f aca="false">(INDEX(INPUT!$B$32:$G$32,1,AS$4+1)+(INDEX(INPUT!$B$32:$G$32,1,AS$4+2)-INDEX(INPUT!$B$32:$G$32,1,AS$4+1))*AS$5)*AS16</f>
        <v>98.3333333333333</v>
      </c>
      <c r="AT31" s="12" t="n">
        <f aca="false">(INDEX(INPUT!$B$32:$G$32,1,AT$4+1)+(INDEX(INPUT!$B$32:$G$32,1,AT$4+2)-INDEX(INPUT!$B$32:$G$32,1,AT$4+1))*AT$5)*AT16</f>
        <v>101.25</v>
      </c>
      <c r="AU31" s="12" t="n">
        <f aca="false">(INDEX(INPUT!$B$32:$G$32,1,AU$4+1)+(INDEX(INPUT!$B$32:$G$32,1,AU$4+2)-INDEX(INPUT!$B$32:$G$32,1,AU$4+1))*AU$5)*AU16</f>
        <v>104.166666666667</v>
      </c>
      <c r="AV31" s="12" t="n">
        <f aca="false">(INDEX(INPUT!$B$32:$G$32,1,AV$4+1)+(INDEX(INPUT!$B$32:$G$32,1,AV$4+2)-INDEX(INPUT!$B$32:$G$32,1,AV$4+1))*AV$5)*AV16</f>
        <v>107.083333333333</v>
      </c>
      <c r="AW31" s="12" t="n">
        <f aca="false">(INDEX(INPUT!$B$32:$G$32,1,AW$4+1)+(INDEX(INPUT!$B$32:$G$32,1,AW$4+2)-INDEX(INPUT!$B$32:$G$32,1,AW$4+1))*AW$5)*AW16</f>
        <v>110</v>
      </c>
      <c r="AX31" s="12" t="n">
        <f aca="false">(INDEX(INPUT!$B$32:$G$32,1,AX$4+1)+(INDEX(INPUT!$B$32:$G$32,1,AX$4+2)-INDEX(INPUT!$B$32:$G$32,1,AX$4+1))*AX$5)*AX16</f>
        <v>113.333333333333</v>
      </c>
      <c r="AY31" s="12" t="n">
        <f aca="false">(INDEX(INPUT!$B$32:$G$32,1,AY$4+1)+(INDEX(INPUT!$B$32:$G$32,1,AY$4+2)-INDEX(INPUT!$B$32:$G$32,1,AY$4+1))*AY$5)*AY16</f>
        <v>116.666666666667</v>
      </c>
      <c r="AZ31" s="12" t="n">
        <f aca="false">(INDEX(INPUT!$B$32:$G$32,1,AZ$4+1)+(INDEX(INPUT!$B$32:$G$32,1,AZ$4+2)-INDEX(INPUT!$B$32:$G$32,1,AZ$4+1))*AZ$5)*AZ16</f>
        <v>120</v>
      </c>
      <c r="BA31" s="12" t="n">
        <f aca="false">(INDEX(INPUT!$B$32:$G$32,1,BA$4+1)+(INDEX(INPUT!$B$32:$G$32,1,BA$4+2)-INDEX(INPUT!$B$32:$G$32,1,BA$4+1))*BA$5)*BA16</f>
        <v>123.333333333333</v>
      </c>
      <c r="BB31" s="12" t="n">
        <f aca="false">(INDEX(INPUT!$B$32:$G$32,1,BB$4+1)+(INDEX(INPUT!$B$32:$G$32,1,BB$4+2)-INDEX(INPUT!$B$32:$G$32,1,BB$4+1))*BB$5)*BB16</f>
        <v>126.666666666667</v>
      </c>
      <c r="BC31" s="12" t="n">
        <f aca="false">(INDEX(INPUT!$B$32:$G$32,1,BC$4+1)+(INDEX(INPUT!$B$32:$G$32,1,BC$4+2)-INDEX(INPUT!$B$32:$G$32,1,BC$4+1))*BC$5)*BC16</f>
        <v>130</v>
      </c>
      <c r="BD31" s="12" t="n">
        <f aca="false">(INDEX(INPUT!$B$32:$G$32,1,BD$4+1)+(INDEX(INPUT!$B$32:$G$32,1,BD$4+2)-INDEX(INPUT!$B$32:$G$32,1,BD$4+1))*BD$5)*BD16</f>
        <v>133.333333333333</v>
      </c>
      <c r="BE31" s="12" t="n">
        <f aca="false">(INDEX(INPUT!$B$32:$G$32,1,BE$4+1)+(INDEX(INPUT!$B$32:$G$32,1,BE$4+2)-INDEX(INPUT!$B$32:$G$32,1,BE$4+1))*BE$5)*BE16</f>
        <v>136.666666666667</v>
      </c>
      <c r="BF31" s="12" t="n">
        <f aca="false">(INDEX(INPUT!$B$32:$G$32,1,BF$4+1)+(INDEX(INPUT!$B$32:$G$32,1,BF$4+2)-INDEX(INPUT!$B$32:$G$32,1,BF$4+1))*BF$5)*BF16</f>
        <v>140</v>
      </c>
      <c r="BG31" s="12" t="n">
        <f aca="false">(INDEX(INPUT!$B$32:$G$32,1,BG$4+1)+(INDEX(INPUT!$B$32:$G$32,1,BG$4+2)-INDEX(INPUT!$B$32:$G$32,1,BG$4+1))*BG$5)*BG16</f>
        <v>143.333333333333</v>
      </c>
      <c r="BH31" s="12" t="n">
        <f aca="false">(INDEX(INPUT!$B$32:$G$32,1,BH$4+1)+(INDEX(INPUT!$B$32:$G$32,1,BH$4+2)-INDEX(INPUT!$B$32:$G$32,1,BH$4+1))*BH$5)*BH16</f>
        <v>146.666666666667</v>
      </c>
      <c r="BI31" s="12" t="n">
        <f aca="false">(INDEX(INPUT!$B$32:$G$32,1,BI$4+1)+(INDEX(INPUT!$B$32:$G$32,1,BI$4+2)-INDEX(INPUT!$B$32:$G$32,1,BI$4+1))*BI$5)*BI16</f>
        <v>150</v>
      </c>
    </row>
    <row r="32" customFormat="false" ht="15" hidden="false" customHeight="true" outlineLevel="0" collapsed="false">
      <c r="A32" s="11" t="s">
        <v>412</v>
      </c>
      <c r="B32" s="12" t="n">
        <f aca="false">B30*INPUT!$B$34+B31*INPUT!$B$35</f>
        <v>141.25</v>
      </c>
      <c r="C32" s="12" t="n">
        <f aca="false">C30*INPUT!$B$34+C31*INPUT!$B$35</f>
        <v>162.5</v>
      </c>
      <c r="D32" s="12" t="n">
        <f aca="false">D30*INPUT!$B$34+D31*INPUT!$B$35</f>
        <v>183.75</v>
      </c>
      <c r="E32" s="12" t="n">
        <f aca="false">E30*INPUT!$B$34+E31*INPUT!$B$35</f>
        <v>205</v>
      </c>
      <c r="F32" s="12" t="n">
        <f aca="false">F30*INPUT!$B$34+F31*INPUT!$B$35</f>
        <v>226.25</v>
      </c>
      <c r="G32" s="12" t="n">
        <f aca="false">G30*INPUT!$B$34+G31*INPUT!$B$35</f>
        <v>247.5</v>
      </c>
      <c r="H32" s="12" t="n">
        <f aca="false">H30*INPUT!$B$34+H31*INPUT!$B$35</f>
        <v>268.75</v>
      </c>
      <c r="I32" s="12" t="n">
        <f aca="false">I30*INPUT!$B$34+I31*INPUT!$B$35</f>
        <v>290</v>
      </c>
      <c r="J32" s="12" t="n">
        <f aca="false">J30*INPUT!$B$34+J31*INPUT!$B$35</f>
        <v>311.25</v>
      </c>
      <c r="K32" s="12" t="n">
        <f aca="false">K30*INPUT!$B$34+K31*INPUT!$B$35</f>
        <v>332.5</v>
      </c>
      <c r="L32" s="12" t="n">
        <f aca="false">L30*INPUT!$B$34+L31*INPUT!$B$35</f>
        <v>353.75</v>
      </c>
      <c r="M32" s="12" t="n">
        <f aca="false">M30*INPUT!$B$34+M31*INPUT!$B$35</f>
        <v>375</v>
      </c>
      <c r="N32" s="12" t="n">
        <f aca="false">N30*INPUT!$B$34+N31*INPUT!$B$35</f>
        <v>417.75</v>
      </c>
      <c r="O32" s="12" t="n">
        <f aca="false">O30*INPUT!$B$34+O31*INPUT!$B$35</f>
        <v>460.5</v>
      </c>
      <c r="P32" s="12" t="n">
        <f aca="false">P30*INPUT!$B$34+P31*INPUT!$B$35</f>
        <v>503.25</v>
      </c>
      <c r="Q32" s="12" t="n">
        <f aca="false">Q30*INPUT!$B$34+Q31*INPUT!$B$35</f>
        <v>546</v>
      </c>
      <c r="R32" s="12" t="n">
        <f aca="false">R30*INPUT!$B$34+R31*INPUT!$B$35</f>
        <v>588.75</v>
      </c>
      <c r="S32" s="12" t="n">
        <f aca="false">S30*INPUT!$B$34+S31*INPUT!$B$35</f>
        <v>631.5</v>
      </c>
      <c r="T32" s="12" t="n">
        <f aca="false">T30*INPUT!$B$34+T31*INPUT!$B$35</f>
        <v>674.25</v>
      </c>
      <c r="U32" s="12" t="n">
        <f aca="false">U30*INPUT!$B$34+U31*INPUT!$B$35</f>
        <v>717</v>
      </c>
      <c r="V32" s="12" t="n">
        <f aca="false">V30*INPUT!$B$34+V31*INPUT!$B$35</f>
        <v>759.75</v>
      </c>
      <c r="W32" s="12" t="n">
        <f aca="false">W30*INPUT!$B$34+W31*INPUT!$B$35</f>
        <v>802.5</v>
      </c>
      <c r="X32" s="12" t="n">
        <f aca="false">X30*INPUT!$B$34+X31*INPUT!$B$35</f>
        <v>845.25</v>
      </c>
      <c r="Y32" s="12" t="n">
        <f aca="false">Y30*INPUT!$B$34+Y31*INPUT!$B$35</f>
        <v>888</v>
      </c>
      <c r="Z32" s="12" t="n">
        <f aca="false">Z30*INPUT!$B$34+Z31*INPUT!$B$35</f>
        <v>934.25</v>
      </c>
      <c r="AA32" s="12" t="n">
        <f aca="false">AA30*INPUT!$B$34+AA31*INPUT!$B$35</f>
        <v>980.5</v>
      </c>
      <c r="AB32" s="12" t="n">
        <f aca="false">AB30*INPUT!$B$34+AB31*INPUT!$B$35</f>
        <v>1026.75</v>
      </c>
      <c r="AC32" s="12" t="n">
        <f aca="false">AC30*INPUT!$B$34+AC31*INPUT!$B$35</f>
        <v>1073</v>
      </c>
      <c r="AD32" s="12" t="n">
        <f aca="false">AD30*INPUT!$B$34+AD31*INPUT!$B$35</f>
        <v>1119.25</v>
      </c>
      <c r="AE32" s="12" t="n">
        <f aca="false">AE30*INPUT!$B$34+AE31*INPUT!$B$35</f>
        <v>1165.5</v>
      </c>
      <c r="AF32" s="12" t="n">
        <f aca="false">AF30*INPUT!$B$34+AF31*INPUT!$B$35</f>
        <v>1211.75</v>
      </c>
      <c r="AG32" s="12" t="n">
        <f aca="false">AG30*INPUT!$B$34+AG31*INPUT!$B$35</f>
        <v>1258</v>
      </c>
      <c r="AH32" s="12" t="n">
        <f aca="false">AH30*INPUT!$B$34+AH31*INPUT!$B$35</f>
        <v>1304.25</v>
      </c>
      <c r="AI32" s="12" t="n">
        <f aca="false">AI30*INPUT!$B$34+AI31*INPUT!$B$35</f>
        <v>1350.5</v>
      </c>
      <c r="AJ32" s="12" t="n">
        <f aca="false">AJ30*INPUT!$B$34+AJ31*INPUT!$B$35</f>
        <v>1396.75</v>
      </c>
      <c r="AK32" s="12" t="n">
        <f aca="false">AK30*INPUT!$B$34+AK31*INPUT!$B$35</f>
        <v>1443</v>
      </c>
      <c r="AL32" s="12" t="n">
        <f aca="false">AL30*INPUT!$B$34+AL31*INPUT!$B$35</f>
        <v>1485.25</v>
      </c>
      <c r="AM32" s="12" t="n">
        <f aca="false">AM30*INPUT!$B$34+AM31*INPUT!$B$35</f>
        <v>1527.5</v>
      </c>
      <c r="AN32" s="12" t="n">
        <f aca="false">AN30*INPUT!$B$34+AN31*INPUT!$B$35</f>
        <v>1569.75</v>
      </c>
      <c r="AO32" s="12" t="n">
        <f aca="false">AO30*INPUT!$B$34+AO31*INPUT!$B$35</f>
        <v>1612</v>
      </c>
      <c r="AP32" s="12" t="n">
        <f aca="false">AP30*INPUT!$B$34+AP31*INPUT!$B$35</f>
        <v>1654.25</v>
      </c>
      <c r="AQ32" s="12" t="n">
        <f aca="false">AQ30*INPUT!$B$34+AQ31*INPUT!$B$35</f>
        <v>1696.5</v>
      </c>
      <c r="AR32" s="12" t="n">
        <f aca="false">AR30*INPUT!$B$34+AR31*INPUT!$B$35</f>
        <v>1738.75</v>
      </c>
      <c r="AS32" s="12" t="n">
        <f aca="false">AS30*INPUT!$B$34+AS31*INPUT!$B$35</f>
        <v>1781</v>
      </c>
      <c r="AT32" s="12" t="n">
        <f aca="false">AT30*INPUT!$B$34+AT31*INPUT!$B$35</f>
        <v>1823.25</v>
      </c>
      <c r="AU32" s="12" t="n">
        <f aca="false">AU30*INPUT!$B$34+AU31*INPUT!$B$35</f>
        <v>1865.5</v>
      </c>
      <c r="AV32" s="12" t="n">
        <f aca="false">AV30*INPUT!$B$34+AV31*INPUT!$B$35</f>
        <v>1907.75</v>
      </c>
      <c r="AW32" s="12" t="n">
        <f aca="false">AW30*INPUT!$B$34+AW31*INPUT!$B$35</f>
        <v>1950</v>
      </c>
      <c r="AX32" s="12" t="n">
        <f aca="false">AX30*INPUT!$B$34+AX31*INPUT!$B$35</f>
        <v>1996</v>
      </c>
      <c r="AY32" s="12" t="n">
        <f aca="false">AY30*INPUT!$B$34+AY31*INPUT!$B$35</f>
        <v>2042</v>
      </c>
      <c r="AZ32" s="12" t="n">
        <f aca="false">AZ30*INPUT!$B$34+AZ31*INPUT!$B$35</f>
        <v>2088</v>
      </c>
      <c r="BA32" s="12" t="n">
        <f aca="false">BA30*INPUT!$B$34+BA31*INPUT!$B$35</f>
        <v>2134</v>
      </c>
      <c r="BB32" s="12" t="n">
        <f aca="false">BB30*INPUT!$B$34+BB31*INPUT!$B$35</f>
        <v>2180</v>
      </c>
      <c r="BC32" s="12" t="n">
        <f aca="false">BC30*INPUT!$B$34+BC31*INPUT!$B$35</f>
        <v>2226</v>
      </c>
      <c r="BD32" s="12" t="n">
        <f aca="false">BD30*INPUT!$B$34+BD31*INPUT!$B$35</f>
        <v>2272</v>
      </c>
      <c r="BE32" s="12" t="n">
        <f aca="false">BE30*INPUT!$B$34+BE31*INPUT!$B$35</f>
        <v>2318</v>
      </c>
      <c r="BF32" s="12" t="n">
        <f aca="false">BF30*INPUT!$B$34+BF31*INPUT!$B$35</f>
        <v>2364</v>
      </c>
      <c r="BG32" s="12" t="n">
        <f aca="false">BG30*INPUT!$B$34+BG31*INPUT!$B$35</f>
        <v>2410</v>
      </c>
      <c r="BH32" s="12" t="n">
        <f aca="false">BH30*INPUT!$B$34+BH31*INPUT!$B$35</f>
        <v>2456</v>
      </c>
      <c r="BI32" s="12" t="n">
        <f aca="false">BI30*INPUT!$B$34+BI31*INPUT!$B$35</f>
        <v>2502</v>
      </c>
    </row>
    <row r="33" customFormat="false" ht="15" hidden="false" customHeight="true" outlineLevel="0" collapsed="false">
      <c r="A33" s="11" t="s">
        <v>413</v>
      </c>
      <c r="B33" s="12" t="n">
        <f aca="false">B30*B14+B31*B15</f>
        <v>277.083333333333</v>
      </c>
      <c r="C33" s="12" t="n">
        <f aca="false">C30*C14+C31*C15</f>
        <v>304.166666666667</v>
      </c>
      <c r="D33" s="12" t="n">
        <f aca="false">D30*D14+D31*D15</f>
        <v>331.25</v>
      </c>
      <c r="E33" s="12" t="n">
        <f aca="false">E30*E14+E31*E15</f>
        <v>358.333333333333</v>
      </c>
      <c r="F33" s="12" t="n">
        <f aca="false">F30*F14+F31*F15</f>
        <v>385.416666666667</v>
      </c>
      <c r="G33" s="12" t="n">
        <f aca="false">G30*G14+G31*G15</f>
        <v>412.5</v>
      </c>
      <c r="H33" s="12" t="n">
        <f aca="false">H30*H14+H31*H15</f>
        <v>439.583333333333</v>
      </c>
      <c r="I33" s="12" t="n">
        <f aca="false">I30*I14+I31*I15</f>
        <v>466.666666666667</v>
      </c>
      <c r="J33" s="12" t="n">
        <f aca="false">J30*J14+J31*J15</f>
        <v>493.75</v>
      </c>
      <c r="K33" s="12" t="n">
        <f aca="false">K30*K14+K31*K15</f>
        <v>520.833333333333</v>
      </c>
      <c r="L33" s="12" t="n">
        <f aca="false">L30*L14+L31*L15</f>
        <v>547.916666666667</v>
      </c>
      <c r="M33" s="12" t="n">
        <f aca="false">M30*M14+M31*M15</f>
        <v>575</v>
      </c>
      <c r="N33" s="12" t="n">
        <f aca="false">N30*N14+N31*N15</f>
        <v>635.416666666667</v>
      </c>
      <c r="O33" s="12" t="n">
        <f aca="false">O30*O14+O31*O15</f>
        <v>695.833333333333</v>
      </c>
      <c r="P33" s="12" t="n">
        <f aca="false">P30*P14+P31*P15</f>
        <v>756.25</v>
      </c>
      <c r="Q33" s="12" t="n">
        <f aca="false">Q30*Q14+Q31*Q15</f>
        <v>816.666666666667</v>
      </c>
      <c r="R33" s="12" t="n">
        <f aca="false">R30*R14+R31*R15</f>
        <v>877.083333333333</v>
      </c>
      <c r="S33" s="12" t="n">
        <f aca="false">S30*S14+S31*S15</f>
        <v>937.5</v>
      </c>
      <c r="T33" s="12" t="n">
        <f aca="false">T30*T14+T31*T15</f>
        <v>997.916666666667</v>
      </c>
      <c r="U33" s="12" t="n">
        <f aca="false">U30*U14+U31*U15</f>
        <v>1058.33333333333</v>
      </c>
      <c r="V33" s="12" t="n">
        <f aca="false">V30*V14+V31*V15</f>
        <v>1118.75</v>
      </c>
      <c r="W33" s="12" t="n">
        <f aca="false">W30*W14+W31*W15</f>
        <v>1179.16666666667</v>
      </c>
      <c r="X33" s="12" t="n">
        <f aca="false">X30*X14+X31*X15</f>
        <v>1239.58333333333</v>
      </c>
      <c r="Y33" s="12" t="n">
        <f aca="false">Y30*Y14+Y31*Y15</f>
        <v>1300</v>
      </c>
      <c r="Z33" s="12" t="n">
        <f aca="false">Z30*Z14+Z31*Z15</f>
        <v>1356.25</v>
      </c>
      <c r="AA33" s="12" t="n">
        <f aca="false">AA30*AA14+AA31*AA15</f>
        <v>1412.5</v>
      </c>
      <c r="AB33" s="12" t="n">
        <f aca="false">AB30*AB14+AB31*AB15</f>
        <v>1468.75</v>
      </c>
      <c r="AC33" s="12" t="n">
        <f aca="false">AC30*AC14+AC31*AC15</f>
        <v>1525</v>
      </c>
      <c r="AD33" s="12" t="n">
        <f aca="false">AD30*AD14+AD31*AD15</f>
        <v>1581.25</v>
      </c>
      <c r="AE33" s="12" t="n">
        <f aca="false">AE30*AE14+AE31*AE15</f>
        <v>1637.5</v>
      </c>
      <c r="AF33" s="12" t="n">
        <f aca="false">AF30*AF14+AF31*AF15</f>
        <v>1693.75</v>
      </c>
      <c r="AG33" s="12" t="n">
        <f aca="false">AG30*AG14+AG31*AG15</f>
        <v>1750</v>
      </c>
      <c r="AH33" s="12" t="n">
        <f aca="false">AH30*AH14+AH31*AH15</f>
        <v>1806.25</v>
      </c>
      <c r="AI33" s="12" t="n">
        <f aca="false">AI30*AI14+AI31*AI15</f>
        <v>1862.5</v>
      </c>
      <c r="AJ33" s="12" t="n">
        <f aca="false">AJ30*AJ14+AJ31*AJ15</f>
        <v>1918.75</v>
      </c>
      <c r="AK33" s="12" t="n">
        <f aca="false">AK30*AK14+AK31*AK15</f>
        <v>1975</v>
      </c>
      <c r="AL33" s="12" t="n">
        <f aca="false">AL30*AL14+AL31*AL15</f>
        <v>2022.91666666667</v>
      </c>
      <c r="AM33" s="12" t="n">
        <f aca="false">AM30*AM14+AM31*AM15</f>
        <v>2070.83333333333</v>
      </c>
      <c r="AN33" s="12" t="n">
        <f aca="false">AN30*AN14+AN31*AN15</f>
        <v>2118.75</v>
      </c>
      <c r="AO33" s="12" t="n">
        <f aca="false">AO30*AO14+AO31*AO15</f>
        <v>2166.66666666667</v>
      </c>
      <c r="AP33" s="12" t="n">
        <f aca="false">AP30*AP14+AP31*AP15</f>
        <v>2214.58333333333</v>
      </c>
      <c r="AQ33" s="12" t="n">
        <f aca="false">AQ30*AQ14+AQ31*AQ15</f>
        <v>2262.5</v>
      </c>
      <c r="AR33" s="12" t="n">
        <f aca="false">AR30*AR14+AR31*AR15</f>
        <v>2310.41666666667</v>
      </c>
      <c r="AS33" s="12" t="n">
        <f aca="false">AS30*AS14+AS31*AS15</f>
        <v>2358.33333333333</v>
      </c>
      <c r="AT33" s="12" t="n">
        <f aca="false">AT30*AT14+AT31*AT15</f>
        <v>2406.25</v>
      </c>
      <c r="AU33" s="12" t="n">
        <f aca="false">AU30*AU14+AU31*AU15</f>
        <v>2454.16666666667</v>
      </c>
      <c r="AV33" s="12" t="n">
        <f aca="false">AV30*AV14+AV31*AV15</f>
        <v>2502.08333333333</v>
      </c>
      <c r="AW33" s="12" t="n">
        <f aca="false">AW30*AW14+AW31*AW15</f>
        <v>2550</v>
      </c>
      <c r="AX33" s="12" t="n">
        <f aca="false">AX30*AX14+AX31*AX15</f>
        <v>2600</v>
      </c>
      <c r="AY33" s="12" t="n">
        <f aca="false">AY30*AY14+AY31*AY15</f>
        <v>2650</v>
      </c>
      <c r="AZ33" s="12" t="n">
        <f aca="false">AZ30*AZ14+AZ31*AZ15</f>
        <v>2700</v>
      </c>
      <c r="BA33" s="12" t="n">
        <f aca="false">BA30*BA14+BA31*BA15</f>
        <v>2750</v>
      </c>
      <c r="BB33" s="12" t="n">
        <f aca="false">BB30*BB14+BB31*BB15</f>
        <v>2800</v>
      </c>
      <c r="BC33" s="12" t="n">
        <f aca="false">BC30*BC14+BC31*BC15</f>
        <v>2850</v>
      </c>
      <c r="BD33" s="12" t="n">
        <f aca="false">BD30*BD14+BD31*BD15</f>
        <v>2900</v>
      </c>
      <c r="BE33" s="12" t="n">
        <f aca="false">BE30*BE14+BE31*BE15</f>
        <v>2950</v>
      </c>
      <c r="BF33" s="12" t="n">
        <f aca="false">BF30*BF14+BF31*BF15</f>
        <v>3000</v>
      </c>
      <c r="BG33" s="12" t="n">
        <f aca="false">BG30*BG14+BG31*BG15</f>
        <v>3050</v>
      </c>
      <c r="BH33" s="12" t="n">
        <f aca="false">BH30*BH14+BH31*BH15</f>
        <v>3100</v>
      </c>
      <c r="BI33" s="12" t="n">
        <f aca="false">BI30*BI14+BI31*BI15</f>
        <v>3150</v>
      </c>
    </row>
    <row r="34" customFormat="false" ht="15" hidden="false" customHeight="true" outlineLevel="0" collapsed="false">
      <c r="A34" s="6" t="s">
        <v>414</v>
      </c>
      <c r="B34" s="23" t="n">
        <f aca="false">INPUT!$B$36</f>
        <v>0.15</v>
      </c>
      <c r="C34" s="23" t="n">
        <f aca="false">INPUT!$B$36</f>
        <v>0.15</v>
      </c>
      <c r="D34" s="23" t="n">
        <f aca="false">INPUT!$B$36</f>
        <v>0.15</v>
      </c>
      <c r="E34" s="23" t="n">
        <f aca="false">INPUT!$B$36</f>
        <v>0.15</v>
      </c>
      <c r="F34" s="23" t="n">
        <f aca="false">INPUT!$B$36</f>
        <v>0.15</v>
      </c>
      <c r="G34" s="23" t="n">
        <f aca="false">INPUT!$B$36</f>
        <v>0.15</v>
      </c>
      <c r="H34" s="23" t="n">
        <f aca="false">INPUT!$B$36</f>
        <v>0.15</v>
      </c>
      <c r="I34" s="23" t="n">
        <f aca="false">INPUT!$B$36</f>
        <v>0.15</v>
      </c>
      <c r="J34" s="23" t="n">
        <f aca="false">INPUT!$B$36</f>
        <v>0.15</v>
      </c>
      <c r="K34" s="23" t="n">
        <f aca="false">INPUT!$B$36</f>
        <v>0.15</v>
      </c>
      <c r="L34" s="23" t="n">
        <f aca="false">INPUT!$B$36</f>
        <v>0.15</v>
      </c>
      <c r="M34" s="23" t="n">
        <f aca="false">INPUT!$B$36</f>
        <v>0.15</v>
      </c>
      <c r="N34" s="23" t="n">
        <f aca="false">INPUT!$B$37</f>
        <v>0.05</v>
      </c>
      <c r="O34" s="23" t="n">
        <f aca="false">INPUT!$B$37</f>
        <v>0.05</v>
      </c>
      <c r="P34" s="23" t="n">
        <f aca="false">INPUT!$B$37</f>
        <v>0.05</v>
      </c>
      <c r="Q34" s="23" t="n">
        <f aca="false">INPUT!$B$37</f>
        <v>0.05</v>
      </c>
      <c r="R34" s="23" t="n">
        <f aca="false">INPUT!$B$37</f>
        <v>0.05</v>
      </c>
      <c r="S34" s="23" t="n">
        <f aca="false">INPUT!$B$37</f>
        <v>0.05</v>
      </c>
      <c r="T34" s="23" t="n">
        <f aca="false">INPUT!$B$37</f>
        <v>0.05</v>
      </c>
      <c r="U34" s="23" t="n">
        <f aca="false">INPUT!$B$37</f>
        <v>0.05</v>
      </c>
      <c r="V34" s="23" t="n">
        <f aca="false">INPUT!$B$37</f>
        <v>0.05</v>
      </c>
      <c r="W34" s="23" t="n">
        <f aca="false">INPUT!$B$37</f>
        <v>0.05</v>
      </c>
      <c r="X34" s="23" t="n">
        <f aca="false">INPUT!$B$37</f>
        <v>0.05</v>
      </c>
      <c r="Y34" s="23" t="n">
        <f aca="false">INPUT!$B$37</f>
        <v>0.05</v>
      </c>
      <c r="Z34" s="23" t="n">
        <f aca="false">INPUT!$B$37</f>
        <v>0.05</v>
      </c>
      <c r="AA34" s="23" t="n">
        <f aca="false">INPUT!$B$37</f>
        <v>0.05</v>
      </c>
      <c r="AB34" s="23" t="n">
        <f aca="false">INPUT!$B$37</f>
        <v>0.05</v>
      </c>
      <c r="AC34" s="23" t="n">
        <f aca="false">INPUT!$B$37</f>
        <v>0.05</v>
      </c>
      <c r="AD34" s="23" t="n">
        <f aca="false">INPUT!$B$37</f>
        <v>0.05</v>
      </c>
      <c r="AE34" s="23" t="n">
        <f aca="false">INPUT!$B$37</f>
        <v>0.05</v>
      </c>
      <c r="AF34" s="23" t="n">
        <f aca="false">INPUT!$B$37</f>
        <v>0.05</v>
      </c>
      <c r="AG34" s="23" t="n">
        <f aca="false">INPUT!$B$37</f>
        <v>0.05</v>
      </c>
      <c r="AH34" s="23" t="n">
        <f aca="false">INPUT!$B$37</f>
        <v>0.05</v>
      </c>
      <c r="AI34" s="23" t="n">
        <f aca="false">INPUT!$B$37</f>
        <v>0.05</v>
      </c>
      <c r="AJ34" s="23" t="n">
        <f aca="false">INPUT!$B$37</f>
        <v>0.05</v>
      </c>
      <c r="AK34" s="23" t="n">
        <f aca="false">INPUT!$B$37</f>
        <v>0.05</v>
      </c>
      <c r="AL34" s="23" t="n">
        <f aca="false">INPUT!$B$37</f>
        <v>0.05</v>
      </c>
      <c r="AM34" s="23" t="n">
        <f aca="false">INPUT!$B$37</f>
        <v>0.05</v>
      </c>
      <c r="AN34" s="23" t="n">
        <f aca="false">INPUT!$B$37</f>
        <v>0.05</v>
      </c>
      <c r="AO34" s="23" t="n">
        <f aca="false">INPUT!$B$37</f>
        <v>0.05</v>
      </c>
      <c r="AP34" s="23" t="n">
        <f aca="false">INPUT!$B$37</f>
        <v>0.05</v>
      </c>
      <c r="AQ34" s="23" t="n">
        <f aca="false">INPUT!$B$37</f>
        <v>0.05</v>
      </c>
      <c r="AR34" s="23" t="n">
        <f aca="false">INPUT!$B$37</f>
        <v>0.05</v>
      </c>
      <c r="AS34" s="23" t="n">
        <f aca="false">INPUT!$B$37</f>
        <v>0.05</v>
      </c>
      <c r="AT34" s="23" t="n">
        <f aca="false">INPUT!$B$37</f>
        <v>0.05</v>
      </c>
      <c r="AU34" s="23" t="n">
        <f aca="false">INPUT!$B$37</f>
        <v>0.05</v>
      </c>
      <c r="AV34" s="23" t="n">
        <f aca="false">INPUT!$B$37</f>
        <v>0.05</v>
      </c>
      <c r="AW34" s="23" t="n">
        <f aca="false">INPUT!$B$37</f>
        <v>0.05</v>
      </c>
      <c r="AX34" s="23" t="n">
        <f aca="false">INPUT!$B$37</f>
        <v>0.05</v>
      </c>
      <c r="AY34" s="23" t="n">
        <f aca="false">INPUT!$B$37</f>
        <v>0.05</v>
      </c>
      <c r="AZ34" s="23" t="n">
        <f aca="false">INPUT!$B$37</f>
        <v>0.05</v>
      </c>
      <c r="BA34" s="23" t="n">
        <f aca="false">INPUT!$B$37</f>
        <v>0.05</v>
      </c>
      <c r="BB34" s="23" t="n">
        <f aca="false">INPUT!$B$37</f>
        <v>0.05</v>
      </c>
      <c r="BC34" s="23" t="n">
        <f aca="false">INPUT!$B$37</f>
        <v>0.05</v>
      </c>
      <c r="BD34" s="23" t="n">
        <f aca="false">INPUT!$B$37</f>
        <v>0.05</v>
      </c>
      <c r="BE34" s="23" t="n">
        <f aca="false">INPUT!$B$37</f>
        <v>0.05</v>
      </c>
      <c r="BF34" s="23" t="n">
        <f aca="false">INPUT!$B$37</f>
        <v>0.05</v>
      </c>
      <c r="BG34" s="23" t="n">
        <f aca="false">INPUT!$B$37</f>
        <v>0.05</v>
      </c>
      <c r="BH34" s="23" t="n">
        <f aca="false">INPUT!$B$37</f>
        <v>0.05</v>
      </c>
      <c r="BI34" s="23" t="n">
        <f aca="false">INPUT!$B$37</f>
        <v>0.05</v>
      </c>
    </row>
    <row r="35" customFormat="false" ht="15" hidden="false" customHeight="true" outlineLevel="0" collapsed="false">
      <c r="A35" s="6" t="s">
        <v>415</v>
      </c>
      <c r="B35" s="22" t="n">
        <f aca="false">(B32*INPUT!$B$16+B33*INPUT!$B$10)*B34</f>
        <v>5860.96590909091</v>
      </c>
      <c r="C35" s="22" t="n">
        <f aca="false">(C32*INPUT!$B$16+C33*INPUT!$B$10)*C34</f>
        <v>6446.02272727273</v>
      </c>
      <c r="D35" s="22" t="n">
        <f aca="false">(D32*INPUT!$B$16+D33*INPUT!$B$10)*D34</f>
        <v>7031.07954545455</v>
      </c>
      <c r="E35" s="22" t="n">
        <f aca="false">(E32*INPUT!$B$16+E33*INPUT!$B$10)*E34</f>
        <v>7616.13636363636</v>
      </c>
      <c r="F35" s="22" t="n">
        <f aca="false">(F32*INPUT!$B$16+F33*INPUT!$B$10)*F34</f>
        <v>8201.19318181818</v>
      </c>
      <c r="G35" s="22" t="n">
        <f aca="false">(G32*INPUT!$B$16+G33*INPUT!$B$10)*G34</f>
        <v>8786.25</v>
      </c>
      <c r="H35" s="22" t="n">
        <f aca="false">(H32*INPUT!$B$16+H33*INPUT!$B$10)*H34</f>
        <v>9371.30681818182</v>
      </c>
      <c r="I35" s="22" t="n">
        <f aca="false">(I32*INPUT!$B$16+I33*INPUT!$B$10)*I34</f>
        <v>9956.36363636363</v>
      </c>
      <c r="J35" s="22" t="n">
        <f aca="false">(J32*INPUT!$B$16+J33*INPUT!$B$10)*J34</f>
        <v>10541.4204545455</v>
      </c>
      <c r="K35" s="22" t="n">
        <f aca="false">(K32*INPUT!$B$16+K33*INPUT!$B$10)*K34</f>
        <v>11126.4772727273</v>
      </c>
      <c r="L35" s="22" t="n">
        <f aca="false">(L32*INPUT!$B$16+L33*INPUT!$B$10)*L34</f>
        <v>11711.5340909091</v>
      </c>
      <c r="M35" s="22" t="n">
        <f aca="false">(M32*INPUT!$B$16+M33*INPUT!$B$10)*M34</f>
        <v>12296.5909090909</v>
      </c>
      <c r="N35" s="22" t="n">
        <f aca="false">(N32*INPUT!$B$16+N33*INPUT!$B$10)*N34</f>
        <v>4531.36742424242</v>
      </c>
      <c r="O35" s="22" t="n">
        <f aca="false">(O32*INPUT!$B$16+O33*INPUT!$B$10)*O34</f>
        <v>4963.87121212121</v>
      </c>
      <c r="P35" s="22" t="n">
        <f aca="false">(P32*INPUT!$B$16+P33*INPUT!$B$10)*P34</f>
        <v>5396.375</v>
      </c>
      <c r="Q35" s="22" t="n">
        <f aca="false">(Q32*INPUT!$B$16+Q33*INPUT!$B$10)*Q34</f>
        <v>5828.87878787879</v>
      </c>
      <c r="R35" s="22" t="n">
        <f aca="false">(R32*INPUT!$B$16+R33*INPUT!$B$10)*R34</f>
        <v>6261.38257575758</v>
      </c>
      <c r="S35" s="22" t="n">
        <f aca="false">(S32*INPUT!$B$16+S33*INPUT!$B$10)*S34</f>
        <v>6693.88636363636</v>
      </c>
      <c r="T35" s="22" t="n">
        <f aca="false">(T32*INPUT!$B$16+T33*INPUT!$B$10)*T34</f>
        <v>7126.39015151515</v>
      </c>
      <c r="U35" s="22" t="n">
        <f aca="false">(U32*INPUT!$B$16+U33*INPUT!$B$10)*U34</f>
        <v>7558.89393939394</v>
      </c>
      <c r="V35" s="22" t="n">
        <f aca="false">(V32*INPUT!$B$16+V33*INPUT!$B$10)*V34</f>
        <v>7991.39772727273</v>
      </c>
      <c r="W35" s="22" t="n">
        <f aca="false">(W32*INPUT!$B$16+W33*INPUT!$B$10)*W34</f>
        <v>8423.90151515151</v>
      </c>
      <c r="X35" s="22" t="n">
        <f aca="false">(X32*INPUT!$B$16+X33*INPUT!$B$10)*X34</f>
        <v>8856.4053030303</v>
      </c>
      <c r="Y35" s="22" t="n">
        <f aca="false">(Y32*INPUT!$B$16+Y33*INPUT!$B$10)*Y34</f>
        <v>9288.90909090909</v>
      </c>
      <c r="Z35" s="22" t="n">
        <f aca="false">(Z32*INPUT!$B$16+Z33*INPUT!$B$10)*Z34</f>
        <v>9695.10227272727</v>
      </c>
      <c r="AA35" s="22" t="n">
        <f aca="false">(AA32*INPUT!$B$16+AA33*INPUT!$B$10)*AA34</f>
        <v>10101.2954545455</v>
      </c>
      <c r="AB35" s="22" t="n">
        <f aca="false">(AB32*INPUT!$B$16+AB33*INPUT!$B$10)*AB34</f>
        <v>10507.4886363636</v>
      </c>
      <c r="AC35" s="22" t="n">
        <f aca="false">(AC32*INPUT!$B$16+AC33*INPUT!$B$10)*AC34</f>
        <v>10913.6818181818</v>
      </c>
      <c r="AD35" s="22" t="n">
        <f aca="false">(AD32*INPUT!$B$16+AD33*INPUT!$B$10)*AD34</f>
        <v>11319.875</v>
      </c>
      <c r="AE35" s="22" t="n">
        <f aca="false">(AE32*INPUT!$B$16+AE33*INPUT!$B$10)*AE34</f>
        <v>11726.0681818182</v>
      </c>
      <c r="AF35" s="22" t="n">
        <f aca="false">(AF32*INPUT!$B$16+AF33*INPUT!$B$10)*AF34</f>
        <v>12132.2613636364</v>
      </c>
      <c r="AG35" s="22" t="n">
        <f aca="false">(AG32*INPUT!$B$16+AG33*INPUT!$B$10)*AG34</f>
        <v>12538.4545454545</v>
      </c>
      <c r="AH35" s="22" t="n">
        <f aca="false">(AH32*INPUT!$B$16+AH33*INPUT!$B$10)*AH34</f>
        <v>12944.6477272727</v>
      </c>
      <c r="AI35" s="22" t="n">
        <f aca="false">(AI32*INPUT!$B$16+AI33*INPUT!$B$10)*AI34</f>
        <v>13350.8409090909</v>
      </c>
      <c r="AJ35" s="22" t="n">
        <f aca="false">(AJ32*INPUT!$B$16+AJ33*INPUT!$B$10)*AJ34</f>
        <v>13757.0340909091</v>
      </c>
      <c r="AK35" s="22" t="n">
        <f aca="false">(AK32*INPUT!$B$16+AK33*INPUT!$B$10)*AK34</f>
        <v>14163.2272727273</v>
      </c>
      <c r="AL35" s="22" t="n">
        <f aca="false">(AL32*INPUT!$B$16+AL33*INPUT!$B$10)*AL34</f>
        <v>14510.7992424242</v>
      </c>
      <c r="AM35" s="22" t="n">
        <f aca="false">(AM32*INPUT!$B$16+AM33*INPUT!$B$10)*AM34</f>
        <v>14858.3712121212</v>
      </c>
      <c r="AN35" s="22" t="n">
        <f aca="false">(AN32*INPUT!$B$16+AN33*INPUT!$B$10)*AN34</f>
        <v>15205.9431818182</v>
      </c>
      <c r="AO35" s="22" t="n">
        <f aca="false">(AO32*INPUT!$B$16+AO33*INPUT!$B$10)*AO34</f>
        <v>15553.5151515152</v>
      </c>
      <c r="AP35" s="22" t="n">
        <f aca="false">(AP32*INPUT!$B$16+AP33*INPUT!$B$10)*AP34</f>
        <v>15901.0871212121</v>
      </c>
      <c r="AQ35" s="22" t="n">
        <f aca="false">(AQ32*INPUT!$B$16+AQ33*INPUT!$B$10)*AQ34</f>
        <v>16248.6590909091</v>
      </c>
      <c r="AR35" s="22" t="n">
        <f aca="false">(AR32*INPUT!$B$16+AR33*INPUT!$B$10)*AR34</f>
        <v>16596.2310606061</v>
      </c>
      <c r="AS35" s="22" t="n">
        <f aca="false">(AS32*INPUT!$B$16+AS33*INPUT!$B$10)*AS34</f>
        <v>16943.803030303</v>
      </c>
      <c r="AT35" s="22" t="n">
        <f aca="false">(AT32*INPUT!$B$16+AT33*INPUT!$B$10)*AT34</f>
        <v>17291.375</v>
      </c>
      <c r="AU35" s="22" t="n">
        <f aca="false">(AU32*INPUT!$B$16+AU33*INPUT!$B$10)*AU34</f>
        <v>17638.946969697</v>
      </c>
      <c r="AV35" s="22" t="n">
        <f aca="false">(AV32*INPUT!$B$16+AV33*INPUT!$B$10)*AV34</f>
        <v>17986.5189393939</v>
      </c>
      <c r="AW35" s="22" t="n">
        <f aca="false">(AW32*INPUT!$B$16+AW33*INPUT!$B$10)*AW34</f>
        <v>18334.0909090909</v>
      </c>
      <c r="AX35" s="22" t="n">
        <f aca="false">(AX32*INPUT!$B$16+AX33*INPUT!$B$10)*AX34</f>
        <v>18697.8181818182</v>
      </c>
      <c r="AY35" s="22" t="n">
        <f aca="false">(AY32*INPUT!$B$16+AY33*INPUT!$B$10)*AY34</f>
        <v>19061.5454545455</v>
      </c>
      <c r="AZ35" s="22" t="n">
        <f aca="false">(AZ32*INPUT!$B$16+AZ33*INPUT!$B$10)*AZ34</f>
        <v>19425.2727272727</v>
      </c>
      <c r="BA35" s="22" t="n">
        <f aca="false">(BA32*INPUT!$B$16+BA33*INPUT!$B$10)*BA34</f>
        <v>19789</v>
      </c>
      <c r="BB35" s="22" t="n">
        <f aca="false">(BB32*INPUT!$B$16+BB33*INPUT!$B$10)*BB34</f>
        <v>20152.7272727273</v>
      </c>
      <c r="BC35" s="22" t="n">
        <f aca="false">(BC32*INPUT!$B$16+BC33*INPUT!$B$10)*BC34</f>
        <v>20516.4545454545</v>
      </c>
      <c r="BD35" s="22" t="n">
        <f aca="false">(BD32*INPUT!$B$16+BD33*INPUT!$B$10)*BD34</f>
        <v>20880.1818181818</v>
      </c>
      <c r="BE35" s="22" t="n">
        <f aca="false">(BE32*INPUT!$B$16+BE33*INPUT!$B$10)*BE34</f>
        <v>21243.9090909091</v>
      </c>
      <c r="BF35" s="22" t="n">
        <f aca="false">(BF32*INPUT!$B$16+BF33*INPUT!$B$10)*BF34</f>
        <v>21607.6363636364</v>
      </c>
      <c r="BG35" s="22" t="n">
        <f aca="false">(BG32*INPUT!$B$16+BG33*INPUT!$B$10)*BG34</f>
        <v>21971.3636363636</v>
      </c>
      <c r="BH35" s="22" t="n">
        <f aca="false">(BH32*INPUT!$B$16+BH33*INPUT!$B$10)*BH34</f>
        <v>22335.0909090909</v>
      </c>
      <c r="BI35" s="22" t="n">
        <f aca="false">(BI32*INPUT!$B$16+BI33*INPUT!$B$10)*BI34</f>
        <v>22698.8181818182</v>
      </c>
    </row>
    <row r="36" customFormat="false" ht="15" hidden="false" customHeight="true" outlineLevel="0" collapsed="false">
      <c r="A36" s="6" t="s">
        <v>416</v>
      </c>
      <c r="B36" s="22" t="n">
        <f aca="false">(B32*INPUT!$B$16+B33*INPUT!$B$10)*(1-B34)*(1-B19)</f>
        <v>21587.8910984848</v>
      </c>
      <c r="C36" s="22" t="n">
        <f aca="false">(C32*INPUT!$B$16+C33*INPUT!$B$10)*(1-C34)*(1-C19)</f>
        <v>23742.8503787879</v>
      </c>
      <c r="D36" s="22" t="n">
        <f aca="false">(D32*INPUT!$B$16+D33*INPUT!$B$10)*(1-D34)*(1-D19)</f>
        <v>25897.8096590909</v>
      </c>
      <c r="E36" s="22" t="n">
        <f aca="false">(E32*INPUT!$B$16+E33*INPUT!$B$10)*(1-E34)*(1-E19)</f>
        <v>28052.7689393939</v>
      </c>
      <c r="F36" s="22" t="n">
        <f aca="false">(F32*INPUT!$B$16+F33*INPUT!$B$10)*(1-F34)*(1-F19)</f>
        <v>30207.728219697</v>
      </c>
      <c r="G36" s="22" t="n">
        <f aca="false">(G32*INPUT!$B$16+G33*INPUT!$B$10)*(1-G34)*(1-G19)</f>
        <v>32362.6875</v>
      </c>
      <c r="H36" s="22" t="n">
        <f aca="false">(H32*INPUT!$B$16+H33*INPUT!$B$10)*(1-H34)*(1-H19)</f>
        <v>34517.646780303</v>
      </c>
      <c r="I36" s="22" t="n">
        <f aca="false">(I32*INPUT!$B$16+I33*INPUT!$B$10)*(1-I34)*(1-I19)</f>
        <v>36672.6060606061</v>
      </c>
      <c r="J36" s="22" t="n">
        <f aca="false">(J32*INPUT!$B$16+J33*INPUT!$B$10)*(1-J34)*(1-J19)</f>
        <v>38827.5653409091</v>
      </c>
      <c r="K36" s="22" t="n">
        <f aca="false">(K32*INPUT!$B$16+K33*INPUT!$B$10)*(1-K34)*(1-K19)</f>
        <v>40982.5246212121</v>
      </c>
      <c r="L36" s="22" t="n">
        <f aca="false">(L32*INPUT!$B$16+L33*INPUT!$B$10)*(1-L34)*(1-L19)</f>
        <v>43137.4839015151</v>
      </c>
      <c r="M36" s="22" t="n">
        <f aca="false">(M32*INPUT!$B$16+M33*INPUT!$B$10)*(1-M34)*(1-M19)</f>
        <v>45292.4431818182</v>
      </c>
      <c r="N36" s="22" t="n">
        <f aca="false">(N32*INPUT!$B$16+N33*INPUT!$B$10)*(1-N34)*(1-N19)</f>
        <v>51657.5886363636</v>
      </c>
      <c r="O36" s="22" t="n">
        <f aca="false">(O32*INPUT!$B$16+O33*INPUT!$B$10)*(1-O34)*(1-O19)</f>
        <v>56588.1318181818</v>
      </c>
      <c r="P36" s="22" t="n">
        <f aca="false">(P32*INPUT!$B$16+P33*INPUT!$B$10)*(1-P34)*(1-P19)</f>
        <v>61518.675</v>
      </c>
      <c r="Q36" s="22" t="n">
        <f aca="false">(Q32*INPUT!$B$16+Q33*INPUT!$B$10)*(1-Q34)*(1-Q19)</f>
        <v>66449.2181818182</v>
      </c>
      <c r="R36" s="22" t="n">
        <f aca="false">(R32*INPUT!$B$16+R33*INPUT!$B$10)*(1-R34)*(1-R19)</f>
        <v>71379.7613636364</v>
      </c>
      <c r="S36" s="22" t="n">
        <f aca="false">(S32*INPUT!$B$16+S33*INPUT!$B$10)*(1-S34)*(1-S19)</f>
        <v>76310.3045454545</v>
      </c>
      <c r="T36" s="22" t="n">
        <f aca="false">(T32*INPUT!$B$16+T33*INPUT!$B$10)*(1-T34)*(1-T19)</f>
        <v>81240.8477272727</v>
      </c>
      <c r="U36" s="22" t="n">
        <f aca="false">(U32*INPUT!$B$16+U33*INPUT!$B$10)*(1-U34)*(1-U19)</f>
        <v>86171.3909090909</v>
      </c>
      <c r="V36" s="22" t="n">
        <f aca="false">(V32*INPUT!$B$16+V33*INPUT!$B$10)*(1-V34)*(1-V19)</f>
        <v>91101.9340909091</v>
      </c>
      <c r="W36" s="22" t="n">
        <f aca="false">(W32*INPUT!$B$16+W33*INPUT!$B$10)*(1-W34)*(1-W19)</f>
        <v>96032.4772727273</v>
      </c>
      <c r="X36" s="22" t="n">
        <f aca="false">(X32*INPUT!$B$16+X33*INPUT!$B$10)*(1-X34)*(1-X19)</f>
        <v>100963.020454545</v>
      </c>
      <c r="Y36" s="22" t="n">
        <f aca="false">(Y32*INPUT!$B$16+Y33*INPUT!$B$10)*(1-Y34)*(1-Y19)</f>
        <v>105893.563636364</v>
      </c>
      <c r="Z36" s="22" t="n">
        <f aca="false">(Z32*INPUT!$B$16+Z33*INPUT!$B$10)*(1-Z34)*(1-Z19)</f>
        <v>92103.4715909091</v>
      </c>
      <c r="AA36" s="22" t="n">
        <f aca="false">(AA32*INPUT!$B$16+AA33*INPUT!$B$10)*(1-AA34)*(1-AA19)</f>
        <v>95962.3068181818</v>
      </c>
      <c r="AB36" s="22" t="n">
        <f aca="false">(AB32*INPUT!$B$16+AB33*INPUT!$B$10)*(1-AB34)*(1-AB19)</f>
        <v>99821.1420454545</v>
      </c>
      <c r="AC36" s="22" t="n">
        <f aca="false">(AC32*INPUT!$B$16+AC33*INPUT!$B$10)*(1-AC34)*(1-AC19)</f>
        <v>103679.977272727</v>
      </c>
      <c r="AD36" s="22" t="n">
        <f aca="false">(AD32*INPUT!$B$16+AD33*INPUT!$B$10)*(1-AD34)*(1-AD19)</f>
        <v>107538.8125</v>
      </c>
      <c r="AE36" s="22" t="n">
        <f aca="false">(AE32*INPUT!$B$16+AE33*INPUT!$B$10)*(1-AE34)*(1-AE19)</f>
        <v>111397.647727273</v>
      </c>
      <c r="AF36" s="22" t="n">
        <f aca="false">(AF32*INPUT!$B$16+AF33*INPUT!$B$10)*(1-AF34)*(1-AF19)</f>
        <v>115256.482954545</v>
      </c>
      <c r="AG36" s="22" t="n">
        <f aca="false">(AG32*INPUT!$B$16+AG33*INPUT!$B$10)*(1-AG34)*(1-AG19)</f>
        <v>119115.318181818</v>
      </c>
      <c r="AH36" s="22" t="n">
        <f aca="false">(AH32*INPUT!$B$16+AH33*INPUT!$B$10)*(1-AH34)*(1-AH19)</f>
        <v>122974.153409091</v>
      </c>
      <c r="AI36" s="22" t="n">
        <f aca="false">(AI32*INPUT!$B$16+AI33*INPUT!$B$10)*(1-AI34)*(1-AI19)</f>
        <v>126832.988636364</v>
      </c>
      <c r="AJ36" s="22" t="n">
        <f aca="false">(AJ32*INPUT!$B$16+AJ33*INPUT!$B$10)*(1-AJ34)*(1-AJ19)</f>
        <v>130691.823863636</v>
      </c>
      <c r="AK36" s="22" t="n">
        <f aca="false">(AK32*INPUT!$B$16+AK33*INPUT!$B$10)*(1-AK34)*(1-AK19)</f>
        <v>134550.659090909</v>
      </c>
      <c r="AL36" s="22" t="n">
        <f aca="false">(AL32*INPUT!$B$16+AL33*INPUT!$B$10)*(1-AL34)*(1-AL19)</f>
        <v>137852.59280303</v>
      </c>
      <c r="AM36" s="22" t="n">
        <f aca="false">(AM32*INPUT!$B$16+AM33*INPUT!$B$10)*(1-AM34)*(1-AM19)</f>
        <v>141154.526515152</v>
      </c>
      <c r="AN36" s="22" t="n">
        <f aca="false">(AN32*INPUT!$B$16+AN33*INPUT!$B$10)*(1-AN34)*(1-AN19)</f>
        <v>144456.460227273</v>
      </c>
      <c r="AO36" s="22" t="n">
        <f aca="false">(AO32*INPUT!$B$16+AO33*INPUT!$B$10)*(1-AO34)*(1-AO19)</f>
        <v>147758.393939394</v>
      </c>
      <c r="AP36" s="22" t="n">
        <f aca="false">(AP32*INPUT!$B$16+AP33*INPUT!$B$10)*(1-AP34)*(1-AP19)</f>
        <v>151060.327651515</v>
      </c>
      <c r="AQ36" s="22" t="n">
        <f aca="false">(AQ32*INPUT!$B$16+AQ33*INPUT!$B$10)*(1-AQ34)*(1-AQ19)</f>
        <v>154362.261363636</v>
      </c>
      <c r="AR36" s="22" t="n">
        <f aca="false">(AR32*INPUT!$B$16+AR33*INPUT!$B$10)*(1-AR34)*(1-AR19)</f>
        <v>157664.195075758</v>
      </c>
      <c r="AS36" s="22" t="n">
        <f aca="false">(AS32*INPUT!$B$16+AS33*INPUT!$B$10)*(1-AS34)*(1-AS19)</f>
        <v>160966.128787879</v>
      </c>
      <c r="AT36" s="22" t="n">
        <f aca="false">(AT32*INPUT!$B$16+AT33*INPUT!$B$10)*(1-AT34)*(1-AT19)</f>
        <v>164268.0625</v>
      </c>
      <c r="AU36" s="22" t="n">
        <f aca="false">(AU32*INPUT!$B$16+AU33*INPUT!$B$10)*(1-AU34)*(1-AU19)</f>
        <v>167569.996212121</v>
      </c>
      <c r="AV36" s="22" t="n">
        <f aca="false">(AV32*INPUT!$B$16+AV33*INPUT!$B$10)*(1-AV34)*(1-AV19)</f>
        <v>170871.929924242</v>
      </c>
      <c r="AW36" s="22" t="n">
        <f aca="false">(AW32*INPUT!$B$16+AW33*INPUT!$B$10)*(1-AW34)*(1-AW19)</f>
        <v>174173.863636364</v>
      </c>
      <c r="AX36" s="22" t="n">
        <f aca="false">(AX32*INPUT!$B$16+AX33*INPUT!$B$10)*(1-AX34)*(1-AX19)</f>
        <v>177629.272727273</v>
      </c>
      <c r="AY36" s="22" t="n">
        <f aca="false">(AY32*INPUT!$B$16+AY33*INPUT!$B$10)*(1-AY34)*(1-AY19)</f>
        <v>181084.681818182</v>
      </c>
      <c r="AZ36" s="22" t="n">
        <f aca="false">(AZ32*INPUT!$B$16+AZ33*INPUT!$B$10)*(1-AZ34)*(1-AZ19)</f>
        <v>184540.090909091</v>
      </c>
      <c r="BA36" s="22" t="n">
        <f aca="false">(BA32*INPUT!$B$16+BA33*INPUT!$B$10)*(1-BA34)*(1-BA19)</f>
        <v>187995.5</v>
      </c>
      <c r="BB36" s="22" t="n">
        <f aca="false">(BB32*INPUT!$B$16+BB33*INPUT!$B$10)*(1-BB34)*(1-BB19)</f>
        <v>191450.909090909</v>
      </c>
      <c r="BC36" s="22" t="n">
        <f aca="false">(BC32*INPUT!$B$16+BC33*INPUT!$B$10)*(1-BC34)*(1-BC19)</f>
        <v>194906.318181818</v>
      </c>
      <c r="BD36" s="22" t="n">
        <f aca="false">(BD32*INPUT!$B$16+BD33*INPUT!$B$10)*(1-BD34)*(1-BD19)</f>
        <v>198361.727272727</v>
      </c>
      <c r="BE36" s="22" t="n">
        <f aca="false">(BE32*INPUT!$B$16+BE33*INPUT!$B$10)*(1-BE34)*(1-BE19)</f>
        <v>201817.136363636</v>
      </c>
      <c r="BF36" s="22" t="n">
        <f aca="false">(BF32*INPUT!$B$16+BF33*INPUT!$B$10)*(1-BF34)*(1-BF19)</f>
        <v>205272.545454545</v>
      </c>
      <c r="BG36" s="22" t="n">
        <f aca="false">(BG32*INPUT!$B$16+BG33*INPUT!$B$10)*(1-BG34)*(1-BG19)</f>
        <v>208727.954545455</v>
      </c>
      <c r="BH36" s="22" t="n">
        <f aca="false">(BH32*INPUT!$B$16+BH33*INPUT!$B$10)*(1-BH34)*(1-BH19)</f>
        <v>212183.363636364</v>
      </c>
      <c r="BI36" s="22" t="n">
        <f aca="false">(BI32*INPUT!$B$16+BI33*INPUT!$B$10)*(1-BI34)*(1-BI19)</f>
        <v>215638.772727273</v>
      </c>
    </row>
    <row r="37" customFormat="false" ht="15" hidden="false" customHeight="true" outlineLevel="0" collapsed="false">
      <c r="A37" s="4" t="s">
        <v>417</v>
      </c>
      <c r="B37" s="10" t="n">
        <f aca="false">B35+B36</f>
        <v>27448.8570075758</v>
      </c>
      <c r="C37" s="10" t="n">
        <f aca="false">C35+C36</f>
        <v>30188.8731060606</v>
      </c>
      <c r="D37" s="10" t="n">
        <f aca="false">D35+D36</f>
        <v>32928.8892045455</v>
      </c>
      <c r="E37" s="10" t="n">
        <f aca="false">E35+E36</f>
        <v>35668.9053030303</v>
      </c>
      <c r="F37" s="10" t="n">
        <f aca="false">F35+F36</f>
        <v>38408.9214015152</v>
      </c>
      <c r="G37" s="10" t="n">
        <f aca="false">G35+G36</f>
        <v>41148.9375</v>
      </c>
      <c r="H37" s="10" t="n">
        <f aca="false">H35+H36</f>
        <v>43888.9535984849</v>
      </c>
      <c r="I37" s="10" t="n">
        <f aca="false">I35+I36</f>
        <v>46628.9696969697</v>
      </c>
      <c r="J37" s="10" t="n">
        <f aca="false">J35+J36</f>
        <v>49368.9857954545</v>
      </c>
      <c r="K37" s="10" t="n">
        <f aca="false">K35+K36</f>
        <v>52109.0018939394</v>
      </c>
      <c r="L37" s="10" t="n">
        <f aca="false">L35+L36</f>
        <v>54849.0179924242</v>
      </c>
      <c r="M37" s="10" t="n">
        <f aca="false">M35+M36</f>
        <v>57589.0340909091</v>
      </c>
      <c r="N37" s="10" t="n">
        <f aca="false">N35+N36</f>
        <v>56188.956060606</v>
      </c>
      <c r="O37" s="10" t="n">
        <f aca="false">O35+O36</f>
        <v>61552.003030303</v>
      </c>
      <c r="P37" s="10" t="n">
        <f aca="false">P35+P36</f>
        <v>66915.05</v>
      </c>
      <c r="Q37" s="10" t="n">
        <f aca="false">Q35+Q36</f>
        <v>72278.0969696969</v>
      </c>
      <c r="R37" s="10" t="n">
        <f aca="false">R35+R36</f>
        <v>77641.1439393939</v>
      </c>
      <c r="S37" s="10" t="n">
        <f aca="false">S35+S36</f>
        <v>83004.1909090909</v>
      </c>
      <c r="T37" s="10" t="n">
        <f aca="false">T35+T36</f>
        <v>88367.2378787879</v>
      </c>
      <c r="U37" s="10" t="n">
        <f aca="false">U35+U36</f>
        <v>93730.2848484848</v>
      </c>
      <c r="V37" s="10" t="n">
        <f aca="false">V35+V36</f>
        <v>99093.3318181818</v>
      </c>
      <c r="W37" s="10" t="n">
        <f aca="false">W35+W36</f>
        <v>104456.378787879</v>
      </c>
      <c r="X37" s="10" t="n">
        <f aca="false">X35+X36</f>
        <v>109819.425757576</v>
      </c>
      <c r="Y37" s="10" t="n">
        <f aca="false">Y35+Y36</f>
        <v>115182.472727273</v>
      </c>
      <c r="Z37" s="10" t="n">
        <f aca="false">Z35+Z36</f>
        <v>101798.573863636</v>
      </c>
      <c r="AA37" s="10" t="n">
        <f aca="false">AA35+AA36</f>
        <v>106063.602272727</v>
      </c>
      <c r="AB37" s="10" t="n">
        <f aca="false">AB35+AB36</f>
        <v>110328.630681818</v>
      </c>
      <c r="AC37" s="10" t="n">
        <f aca="false">AC35+AC36</f>
        <v>114593.659090909</v>
      </c>
      <c r="AD37" s="10" t="n">
        <f aca="false">AD35+AD36</f>
        <v>118858.6875</v>
      </c>
      <c r="AE37" s="10" t="n">
        <f aca="false">AE35+AE36</f>
        <v>123123.715909091</v>
      </c>
      <c r="AF37" s="10" t="n">
        <f aca="false">AF35+AF36</f>
        <v>127388.744318182</v>
      </c>
      <c r="AG37" s="10" t="n">
        <f aca="false">AG35+AG36</f>
        <v>131653.772727273</v>
      </c>
      <c r="AH37" s="10" t="n">
        <f aca="false">AH35+AH36</f>
        <v>135918.801136364</v>
      </c>
      <c r="AI37" s="10" t="n">
        <f aca="false">AI35+AI36</f>
        <v>140183.829545455</v>
      </c>
      <c r="AJ37" s="10" t="n">
        <f aca="false">AJ35+AJ36</f>
        <v>144448.857954545</v>
      </c>
      <c r="AK37" s="10" t="n">
        <f aca="false">AK35+AK36</f>
        <v>148713.886363636</v>
      </c>
      <c r="AL37" s="10" t="n">
        <f aca="false">AL35+AL36</f>
        <v>152363.392045455</v>
      </c>
      <c r="AM37" s="10" t="n">
        <f aca="false">AM35+AM36</f>
        <v>156012.897727273</v>
      </c>
      <c r="AN37" s="10" t="n">
        <f aca="false">AN35+AN36</f>
        <v>159662.403409091</v>
      </c>
      <c r="AO37" s="10" t="n">
        <f aca="false">AO35+AO36</f>
        <v>163311.909090909</v>
      </c>
      <c r="AP37" s="10" t="n">
        <f aca="false">AP35+AP36</f>
        <v>166961.414772727</v>
      </c>
      <c r="AQ37" s="10" t="n">
        <f aca="false">AQ35+AQ36</f>
        <v>170610.920454545</v>
      </c>
      <c r="AR37" s="10" t="n">
        <f aca="false">AR35+AR36</f>
        <v>174260.426136364</v>
      </c>
      <c r="AS37" s="10" t="n">
        <f aca="false">AS35+AS36</f>
        <v>177909.931818182</v>
      </c>
      <c r="AT37" s="10" t="n">
        <f aca="false">AT35+AT36</f>
        <v>181559.4375</v>
      </c>
      <c r="AU37" s="10" t="n">
        <f aca="false">AU35+AU36</f>
        <v>185208.943181818</v>
      </c>
      <c r="AV37" s="10" t="n">
        <f aca="false">AV35+AV36</f>
        <v>188858.448863636</v>
      </c>
      <c r="AW37" s="10" t="n">
        <f aca="false">AW35+AW36</f>
        <v>192507.954545455</v>
      </c>
      <c r="AX37" s="10" t="n">
        <f aca="false">AX35+AX36</f>
        <v>196327.090909091</v>
      </c>
      <c r="AY37" s="10" t="n">
        <f aca="false">AY35+AY36</f>
        <v>200146.227272727</v>
      </c>
      <c r="AZ37" s="10" t="n">
        <f aca="false">AZ35+AZ36</f>
        <v>203965.363636364</v>
      </c>
      <c r="BA37" s="10" t="n">
        <f aca="false">BA35+BA36</f>
        <v>207784.5</v>
      </c>
      <c r="BB37" s="10" t="n">
        <f aca="false">BB35+BB36</f>
        <v>211603.636363636</v>
      </c>
      <c r="BC37" s="10" t="n">
        <f aca="false">BC35+BC36</f>
        <v>215422.772727273</v>
      </c>
      <c r="BD37" s="10" t="n">
        <f aca="false">BD35+BD36</f>
        <v>219241.909090909</v>
      </c>
      <c r="BE37" s="10" t="n">
        <f aca="false">BE35+BE36</f>
        <v>223061.045454545</v>
      </c>
      <c r="BF37" s="10" t="n">
        <f aca="false">BF35+BF36</f>
        <v>226880.181818182</v>
      </c>
      <c r="BG37" s="10" t="n">
        <f aca="false">BG35+BG36</f>
        <v>230699.318181818</v>
      </c>
      <c r="BH37" s="10" t="n">
        <f aca="false">BH35+BH36</f>
        <v>234518.454545455</v>
      </c>
      <c r="BI37" s="10" t="n">
        <f aca="false">BI35+BI36</f>
        <v>238337.590909091</v>
      </c>
    </row>
    <row r="38" customFormat="false" ht="15" hidden="false" customHeight="true" outlineLevel="0" collapsed="false">
      <c r="A38" s="7" t="s">
        <v>418</v>
      </c>
      <c r="B38" s="8"/>
      <c r="C38" s="8"/>
      <c r="D38" s="8"/>
      <c r="E38" s="8"/>
      <c r="F38" s="8"/>
      <c r="G38" s="8"/>
    </row>
    <row r="39" customFormat="false" ht="15" hidden="false" customHeight="true" outlineLevel="0" collapsed="false">
      <c r="A39" s="11" t="s">
        <v>419</v>
      </c>
      <c r="B39" s="12" t="n">
        <f aca="false">(INDEX(INPUT!$B$33:$G$33,1,B$4+1)+(INDEX(INPUT!$B$33:$G$33,1,B$4+2)-INDEX(INPUT!$B$33:$G$33,1,B$4+1))*B$5)*B16</f>
        <v>17.0833333333333</v>
      </c>
      <c r="C39" s="12" t="n">
        <f aca="false">(INDEX(INPUT!$B$33:$G$33,1,C$4+1)+(INDEX(INPUT!$B$33:$G$33,1,C$4+2)-INDEX(INPUT!$B$33:$G$33,1,C$4+1))*C$5)*C16</f>
        <v>19.1666666666667</v>
      </c>
      <c r="D39" s="12" t="n">
        <f aca="false">(INDEX(INPUT!$B$33:$G$33,1,D$4+1)+(INDEX(INPUT!$B$33:$G$33,1,D$4+2)-INDEX(INPUT!$B$33:$G$33,1,D$4+1))*D$5)*D16</f>
        <v>21.25</v>
      </c>
      <c r="E39" s="12" t="n">
        <f aca="false">(INDEX(INPUT!$B$33:$G$33,1,E$4+1)+(INDEX(INPUT!$B$33:$G$33,1,E$4+2)-INDEX(INPUT!$B$33:$G$33,1,E$4+1))*E$5)*E16</f>
        <v>23.3333333333333</v>
      </c>
      <c r="F39" s="12" t="n">
        <f aca="false">(INDEX(INPUT!$B$33:$G$33,1,F$4+1)+(INDEX(INPUT!$B$33:$G$33,1,F$4+2)-INDEX(INPUT!$B$33:$G$33,1,F$4+1))*F$5)*F16</f>
        <v>25.4166666666667</v>
      </c>
      <c r="G39" s="12" t="n">
        <f aca="false">(INDEX(INPUT!$B$33:$G$33,1,G$4+1)+(INDEX(INPUT!$B$33:$G$33,1,G$4+2)-INDEX(INPUT!$B$33:$G$33,1,G$4+1))*G$5)*G16</f>
        <v>27.5</v>
      </c>
      <c r="H39" s="12" t="n">
        <f aca="false">(INDEX(INPUT!$B$33:$G$33,1,H$4+1)+(INDEX(INPUT!$B$33:$G$33,1,H$4+2)-INDEX(INPUT!$B$33:$G$33,1,H$4+1))*H$5)*H16</f>
        <v>29.5833333333333</v>
      </c>
      <c r="I39" s="12" t="n">
        <f aca="false">(INDEX(INPUT!$B$33:$G$33,1,I$4+1)+(INDEX(INPUT!$B$33:$G$33,1,I$4+2)-INDEX(INPUT!$B$33:$G$33,1,I$4+1))*I$5)*I16</f>
        <v>31.6666666666667</v>
      </c>
      <c r="J39" s="12" t="n">
        <f aca="false">(INDEX(INPUT!$B$33:$G$33,1,J$4+1)+(INDEX(INPUT!$B$33:$G$33,1,J$4+2)-INDEX(INPUT!$B$33:$G$33,1,J$4+1))*J$5)*J16</f>
        <v>33.75</v>
      </c>
      <c r="K39" s="12" t="n">
        <f aca="false">(INDEX(INPUT!$B$33:$G$33,1,K$4+1)+(INDEX(INPUT!$B$33:$G$33,1,K$4+2)-INDEX(INPUT!$B$33:$G$33,1,K$4+1))*K$5)*K16</f>
        <v>35.8333333333333</v>
      </c>
      <c r="L39" s="12" t="n">
        <f aca="false">(INDEX(INPUT!$B$33:$G$33,1,L$4+1)+(INDEX(INPUT!$B$33:$G$33,1,L$4+2)-INDEX(INPUT!$B$33:$G$33,1,L$4+1))*L$5)*L16</f>
        <v>37.9166666666667</v>
      </c>
      <c r="M39" s="12" t="n">
        <f aca="false">(INDEX(INPUT!$B$33:$G$33,1,M$4+1)+(INDEX(INPUT!$B$33:$G$33,1,M$4+2)-INDEX(INPUT!$B$33:$G$33,1,M$4+1))*M$5)*M16</f>
        <v>40</v>
      </c>
      <c r="N39" s="12" t="n">
        <f aca="false">(INDEX(INPUT!$B$33:$G$33,1,N$4+1)+(INDEX(INPUT!$B$33:$G$33,1,N$4+2)-INDEX(INPUT!$B$33:$G$33,1,N$4+1))*N$5)*N16</f>
        <v>44.1666666666667</v>
      </c>
      <c r="O39" s="12" t="n">
        <f aca="false">(INDEX(INPUT!$B$33:$G$33,1,O$4+1)+(INDEX(INPUT!$B$33:$G$33,1,O$4+2)-INDEX(INPUT!$B$33:$G$33,1,O$4+1))*O$5)*O16</f>
        <v>48.3333333333333</v>
      </c>
      <c r="P39" s="12" t="n">
        <f aca="false">(INDEX(INPUT!$B$33:$G$33,1,P$4+1)+(INDEX(INPUT!$B$33:$G$33,1,P$4+2)-INDEX(INPUT!$B$33:$G$33,1,P$4+1))*P$5)*P16</f>
        <v>52.5</v>
      </c>
      <c r="Q39" s="12" t="n">
        <f aca="false">(INDEX(INPUT!$B$33:$G$33,1,Q$4+1)+(INDEX(INPUT!$B$33:$G$33,1,Q$4+2)-INDEX(INPUT!$B$33:$G$33,1,Q$4+1))*Q$5)*Q16</f>
        <v>56.6666666666667</v>
      </c>
      <c r="R39" s="12" t="n">
        <f aca="false">(INDEX(INPUT!$B$33:$G$33,1,R$4+1)+(INDEX(INPUT!$B$33:$G$33,1,R$4+2)-INDEX(INPUT!$B$33:$G$33,1,R$4+1))*R$5)*R16</f>
        <v>60.8333333333333</v>
      </c>
      <c r="S39" s="12" t="n">
        <f aca="false">(INDEX(INPUT!$B$33:$G$33,1,S$4+1)+(INDEX(INPUT!$B$33:$G$33,1,S$4+2)-INDEX(INPUT!$B$33:$G$33,1,S$4+1))*S$5)*S16</f>
        <v>65</v>
      </c>
      <c r="T39" s="12" t="n">
        <f aca="false">(INDEX(INPUT!$B$33:$G$33,1,T$4+1)+(INDEX(INPUT!$B$33:$G$33,1,T$4+2)-INDEX(INPUT!$B$33:$G$33,1,T$4+1))*T$5)*T16</f>
        <v>69.1666666666667</v>
      </c>
      <c r="U39" s="12" t="n">
        <f aca="false">(INDEX(INPUT!$B$33:$G$33,1,U$4+1)+(INDEX(INPUT!$B$33:$G$33,1,U$4+2)-INDEX(INPUT!$B$33:$G$33,1,U$4+1))*U$5)*U16</f>
        <v>73.3333333333333</v>
      </c>
      <c r="V39" s="12" t="n">
        <f aca="false">(INDEX(INPUT!$B$33:$G$33,1,V$4+1)+(INDEX(INPUT!$B$33:$G$33,1,V$4+2)-INDEX(INPUT!$B$33:$G$33,1,V$4+1))*V$5)*V16</f>
        <v>77.5</v>
      </c>
      <c r="W39" s="12" t="n">
        <f aca="false">(INDEX(INPUT!$B$33:$G$33,1,W$4+1)+(INDEX(INPUT!$B$33:$G$33,1,W$4+2)-INDEX(INPUT!$B$33:$G$33,1,W$4+1))*W$5)*W16</f>
        <v>81.6666666666667</v>
      </c>
      <c r="X39" s="12" t="n">
        <f aca="false">(INDEX(INPUT!$B$33:$G$33,1,X$4+1)+(INDEX(INPUT!$B$33:$G$33,1,X$4+2)-INDEX(INPUT!$B$33:$G$33,1,X$4+1))*X$5)*X16</f>
        <v>85.8333333333333</v>
      </c>
      <c r="Y39" s="12" t="n">
        <f aca="false">(INDEX(INPUT!$B$33:$G$33,1,Y$4+1)+(INDEX(INPUT!$B$33:$G$33,1,Y$4+2)-INDEX(INPUT!$B$33:$G$33,1,Y$4+1))*Y$5)*Y16</f>
        <v>90</v>
      </c>
      <c r="Z39" s="12" t="n">
        <f aca="false">(INDEX(INPUT!$B$33:$G$33,1,Z$4+1)+(INDEX(INPUT!$B$33:$G$33,1,Z$4+2)-INDEX(INPUT!$B$33:$G$33,1,Z$4+1))*Z$5)*Z16</f>
        <v>95</v>
      </c>
      <c r="AA39" s="12" t="n">
        <f aca="false">(INDEX(INPUT!$B$33:$G$33,1,AA$4+1)+(INDEX(INPUT!$B$33:$G$33,1,AA$4+2)-INDEX(INPUT!$B$33:$G$33,1,AA$4+1))*AA$5)*AA16</f>
        <v>100</v>
      </c>
      <c r="AB39" s="12" t="n">
        <f aca="false">(INDEX(INPUT!$B$33:$G$33,1,AB$4+1)+(INDEX(INPUT!$B$33:$G$33,1,AB$4+2)-INDEX(INPUT!$B$33:$G$33,1,AB$4+1))*AB$5)*AB16</f>
        <v>105</v>
      </c>
      <c r="AC39" s="12" t="n">
        <f aca="false">(INDEX(INPUT!$B$33:$G$33,1,AC$4+1)+(INDEX(INPUT!$B$33:$G$33,1,AC$4+2)-INDEX(INPUT!$B$33:$G$33,1,AC$4+1))*AC$5)*AC16</f>
        <v>110</v>
      </c>
      <c r="AD39" s="12" t="n">
        <f aca="false">(INDEX(INPUT!$B$33:$G$33,1,AD$4+1)+(INDEX(INPUT!$B$33:$G$33,1,AD$4+2)-INDEX(INPUT!$B$33:$G$33,1,AD$4+1))*AD$5)*AD16</f>
        <v>115</v>
      </c>
      <c r="AE39" s="12" t="n">
        <f aca="false">(INDEX(INPUT!$B$33:$G$33,1,AE$4+1)+(INDEX(INPUT!$B$33:$G$33,1,AE$4+2)-INDEX(INPUT!$B$33:$G$33,1,AE$4+1))*AE$5)*AE16</f>
        <v>120</v>
      </c>
      <c r="AF39" s="12" t="n">
        <f aca="false">(INDEX(INPUT!$B$33:$G$33,1,AF$4+1)+(INDEX(INPUT!$B$33:$G$33,1,AF$4+2)-INDEX(INPUT!$B$33:$G$33,1,AF$4+1))*AF$5)*AF16</f>
        <v>125</v>
      </c>
      <c r="AG39" s="12" t="n">
        <f aca="false">(INDEX(INPUT!$B$33:$G$33,1,AG$4+1)+(INDEX(INPUT!$B$33:$G$33,1,AG$4+2)-INDEX(INPUT!$B$33:$G$33,1,AG$4+1))*AG$5)*AG16</f>
        <v>130</v>
      </c>
      <c r="AH39" s="12" t="n">
        <f aca="false">(INDEX(INPUT!$B$33:$G$33,1,AH$4+1)+(INDEX(INPUT!$B$33:$G$33,1,AH$4+2)-INDEX(INPUT!$B$33:$G$33,1,AH$4+1))*AH$5)*AH16</f>
        <v>135</v>
      </c>
      <c r="AI39" s="12" t="n">
        <f aca="false">(INDEX(INPUT!$B$33:$G$33,1,AI$4+1)+(INDEX(INPUT!$B$33:$G$33,1,AI$4+2)-INDEX(INPUT!$B$33:$G$33,1,AI$4+1))*AI$5)*AI16</f>
        <v>140</v>
      </c>
      <c r="AJ39" s="12" t="n">
        <f aca="false">(INDEX(INPUT!$B$33:$G$33,1,AJ$4+1)+(INDEX(INPUT!$B$33:$G$33,1,AJ$4+2)-INDEX(INPUT!$B$33:$G$33,1,AJ$4+1))*AJ$5)*AJ16</f>
        <v>145</v>
      </c>
      <c r="AK39" s="12" t="n">
        <f aca="false">(INDEX(INPUT!$B$33:$G$33,1,AK$4+1)+(INDEX(INPUT!$B$33:$G$33,1,AK$4+2)-INDEX(INPUT!$B$33:$G$33,1,AK$4+1))*AK$5)*AK16</f>
        <v>150</v>
      </c>
      <c r="AL39" s="12" t="n">
        <f aca="false">(INDEX(INPUT!$B$33:$G$33,1,AL$4+1)+(INDEX(INPUT!$B$33:$G$33,1,AL$4+2)-INDEX(INPUT!$B$33:$G$33,1,AL$4+1))*AL$5)*AL16</f>
        <v>155</v>
      </c>
      <c r="AM39" s="12" t="n">
        <f aca="false">(INDEX(INPUT!$B$33:$G$33,1,AM$4+1)+(INDEX(INPUT!$B$33:$G$33,1,AM$4+2)-INDEX(INPUT!$B$33:$G$33,1,AM$4+1))*AM$5)*AM16</f>
        <v>160</v>
      </c>
      <c r="AN39" s="12" t="n">
        <f aca="false">(INDEX(INPUT!$B$33:$G$33,1,AN$4+1)+(INDEX(INPUT!$B$33:$G$33,1,AN$4+2)-INDEX(INPUT!$B$33:$G$33,1,AN$4+1))*AN$5)*AN16</f>
        <v>165</v>
      </c>
      <c r="AO39" s="12" t="n">
        <f aca="false">(INDEX(INPUT!$B$33:$G$33,1,AO$4+1)+(INDEX(INPUT!$B$33:$G$33,1,AO$4+2)-INDEX(INPUT!$B$33:$G$33,1,AO$4+1))*AO$5)*AO16</f>
        <v>170</v>
      </c>
      <c r="AP39" s="12" t="n">
        <f aca="false">(INDEX(INPUT!$B$33:$G$33,1,AP$4+1)+(INDEX(INPUT!$B$33:$G$33,1,AP$4+2)-INDEX(INPUT!$B$33:$G$33,1,AP$4+1))*AP$5)*AP16</f>
        <v>175</v>
      </c>
      <c r="AQ39" s="12" t="n">
        <f aca="false">(INDEX(INPUT!$B$33:$G$33,1,AQ$4+1)+(INDEX(INPUT!$B$33:$G$33,1,AQ$4+2)-INDEX(INPUT!$B$33:$G$33,1,AQ$4+1))*AQ$5)*AQ16</f>
        <v>180</v>
      </c>
      <c r="AR39" s="12" t="n">
        <f aca="false">(INDEX(INPUT!$B$33:$G$33,1,AR$4+1)+(INDEX(INPUT!$B$33:$G$33,1,AR$4+2)-INDEX(INPUT!$B$33:$G$33,1,AR$4+1))*AR$5)*AR16</f>
        <v>185</v>
      </c>
      <c r="AS39" s="12" t="n">
        <f aca="false">(INDEX(INPUT!$B$33:$G$33,1,AS$4+1)+(INDEX(INPUT!$B$33:$G$33,1,AS$4+2)-INDEX(INPUT!$B$33:$G$33,1,AS$4+1))*AS$5)*AS16</f>
        <v>190</v>
      </c>
      <c r="AT39" s="12" t="n">
        <f aca="false">(INDEX(INPUT!$B$33:$G$33,1,AT$4+1)+(INDEX(INPUT!$B$33:$G$33,1,AT$4+2)-INDEX(INPUT!$B$33:$G$33,1,AT$4+1))*AT$5)*AT16</f>
        <v>195</v>
      </c>
      <c r="AU39" s="12" t="n">
        <f aca="false">(INDEX(INPUT!$B$33:$G$33,1,AU$4+1)+(INDEX(INPUT!$B$33:$G$33,1,AU$4+2)-INDEX(INPUT!$B$33:$G$33,1,AU$4+1))*AU$5)*AU16</f>
        <v>200</v>
      </c>
      <c r="AV39" s="12" t="n">
        <f aca="false">(INDEX(INPUT!$B$33:$G$33,1,AV$4+1)+(INDEX(INPUT!$B$33:$G$33,1,AV$4+2)-INDEX(INPUT!$B$33:$G$33,1,AV$4+1))*AV$5)*AV16</f>
        <v>205</v>
      </c>
      <c r="AW39" s="12" t="n">
        <f aca="false">(INDEX(INPUT!$B$33:$G$33,1,AW$4+1)+(INDEX(INPUT!$B$33:$G$33,1,AW$4+2)-INDEX(INPUT!$B$33:$G$33,1,AW$4+1))*AW$5)*AW16</f>
        <v>210</v>
      </c>
      <c r="AX39" s="12" t="n">
        <f aca="false">(INDEX(INPUT!$B$33:$G$33,1,AX$4+1)+(INDEX(INPUT!$B$33:$G$33,1,AX$4+2)-INDEX(INPUT!$B$33:$G$33,1,AX$4+1))*AX$5)*AX16</f>
        <v>215</v>
      </c>
      <c r="AY39" s="12" t="n">
        <f aca="false">(INDEX(INPUT!$B$33:$G$33,1,AY$4+1)+(INDEX(INPUT!$B$33:$G$33,1,AY$4+2)-INDEX(INPUT!$B$33:$G$33,1,AY$4+1))*AY$5)*AY16</f>
        <v>220</v>
      </c>
      <c r="AZ39" s="12" t="n">
        <f aca="false">(INDEX(INPUT!$B$33:$G$33,1,AZ$4+1)+(INDEX(INPUT!$B$33:$G$33,1,AZ$4+2)-INDEX(INPUT!$B$33:$G$33,1,AZ$4+1))*AZ$5)*AZ16</f>
        <v>225</v>
      </c>
      <c r="BA39" s="12" t="n">
        <f aca="false">(INDEX(INPUT!$B$33:$G$33,1,BA$4+1)+(INDEX(INPUT!$B$33:$G$33,1,BA$4+2)-INDEX(INPUT!$B$33:$G$33,1,BA$4+1))*BA$5)*BA16</f>
        <v>230</v>
      </c>
      <c r="BB39" s="12" t="n">
        <f aca="false">(INDEX(INPUT!$B$33:$G$33,1,BB$4+1)+(INDEX(INPUT!$B$33:$G$33,1,BB$4+2)-INDEX(INPUT!$B$33:$G$33,1,BB$4+1))*BB$5)*BB16</f>
        <v>235</v>
      </c>
      <c r="BC39" s="12" t="n">
        <f aca="false">(INDEX(INPUT!$B$33:$G$33,1,BC$4+1)+(INDEX(INPUT!$B$33:$G$33,1,BC$4+2)-INDEX(INPUT!$B$33:$G$33,1,BC$4+1))*BC$5)*BC16</f>
        <v>240</v>
      </c>
      <c r="BD39" s="12" t="n">
        <f aca="false">(INDEX(INPUT!$B$33:$G$33,1,BD$4+1)+(INDEX(INPUT!$B$33:$G$33,1,BD$4+2)-INDEX(INPUT!$B$33:$G$33,1,BD$4+1))*BD$5)*BD16</f>
        <v>245</v>
      </c>
      <c r="BE39" s="12" t="n">
        <f aca="false">(INDEX(INPUT!$B$33:$G$33,1,BE$4+1)+(INDEX(INPUT!$B$33:$G$33,1,BE$4+2)-INDEX(INPUT!$B$33:$G$33,1,BE$4+1))*BE$5)*BE16</f>
        <v>250</v>
      </c>
      <c r="BF39" s="12" t="n">
        <f aca="false">(INDEX(INPUT!$B$33:$G$33,1,BF$4+1)+(INDEX(INPUT!$B$33:$G$33,1,BF$4+2)-INDEX(INPUT!$B$33:$G$33,1,BF$4+1))*BF$5)*BF16</f>
        <v>255</v>
      </c>
      <c r="BG39" s="12" t="n">
        <f aca="false">(INDEX(INPUT!$B$33:$G$33,1,BG$4+1)+(INDEX(INPUT!$B$33:$G$33,1,BG$4+2)-INDEX(INPUT!$B$33:$G$33,1,BG$4+1))*BG$5)*BG16</f>
        <v>260</v>
      </c>
      <c r="BH39" s="12" t="n">
        <f aca="false">(INDEX(INPUT!$B$33:$G$33,1,BH$4+1)+(INDEX(INPUT!$B$33:$G$33,1,BH$4+2)-INDEX(INPUT!$B$33:$G$33,1,BH$4+1))*BH$5)*BH16</f>
        <v>265</v>
      </c>
      <c r="BI39" s="12" t="n">
        <f aca="false">(INDEX(INPUT!$B$33:$G$33,1,BI$4+1)+(INDEX(INPUT!$B$33:$G$33,1,BI$4+2)-INDEX(INPUT!$B$33:$G$33,1,BI$4+1))*BI$5)*BI16</f>
        <v>270</v>
      </c>
    </row>
    <row r="40" customFormat="false" ht="15" hidden="false" customHeight="true" outlineLevel="0" collapsed="false">
      <c r="A40" s="11" t="s">
        <v>420</v>
      </c>
      <c r="B40" s="12" t="n">
        <f aca="false">B39*B13</f>
        <v>136.666666666667</v>
      </c>
      <c r="C40" s="12" t="n">
        <f aca="false">C39*C13</f>
        <v>153.333333333333</v>
      </c>
      <c r="D40" s="12" t="n">
        <f aca="false">D39*D13</f>
        <v>170</v>
      </c>
      <c r="E40" s="12" t="n">
        <f aca="false">E39*E13</f>
        <v>186.666666666667</v>
      </c>
      <c r="F40" s="12" t="n">
        <f aca="false">F39*F13</f>
        <v>203.333333333333</v>
      </c>
      <c r="G40" s="12" t="n">
        <f aca="false">G39*G13</f>
        <v>220</v>
      </c>
      <c r="H40" s="12" t="n">
        <f aca="false">H39*H13</f>
        <v>236.666666666667</v>
      </c>
      <c r="I40" s="12" t="n">
        <f aca="false">I39*I13</f>
        <v>253.333333333333</v>
      </c>
      <c r="J40" s="12" t="n">
        <f aca="false">J39*J13</f>
        <v>270</v>
      </c>
      <c r="K40" s="12" t="n">
        <f aca="false">K39*K13</f>
        <v>286.666666666667</v>
      </c>
      <c r="L40" s="12" t="n">
        <f aca="false">L39*L13</f>
        <v>303.333333333333</v>
      </c>
      <c r="M40" s="12" t="n">
        <f aca="false">M39*M13</f>
        <v>320</v>
      </c>
      <c r="N40" s="12" t="n">
        <f aca="false">N39*N13</f>
        <v>530</v>
      </c>
      <c r="O40" s="12" t="n">
        <f aca="false">O39*O13</f>
        <v>580</v>
      </c>
      <c r="P40" s="12" t="n">
        <f aca="false">P39*P13</f>
        <v>630</v>
      </c>
      <c r="Q40" s="12" t="n">
        <f aca="false">Q39*Q13</f>
        <v>680</v>
      </c>
      <c r="R40" s="12" t="n">
        <f aca="false">R39*R13</f>
        <v>730</v>
      </c>
      <c r="S40" s="12" t="n">
        <f aca="false">S39*S13</f>
        <v>780</v>
      </c>
      <c r="T40" s="12" t="n">
        <f aca="false">T39*T13</f>
        <v>830</v>
      </c>
      <c r="U40" s="12" t="n">
        <f aca="false">U39*U13</f>
        <v>880</v>
      </c>
      <c r="V40" s="12" t="n">
        <f aca="false">V39*V13</f>
        <v>930</v>
      </c>
      <c r="W40" s="12" t="n">
        <f aca="false">W39*W13</f>
        <v>980</v>
      </c>
      <c r="X40" s="12" t="n">
        <f aca="false">X39*X13</f>
        <v>1030</v>
      </c>
      <c r="Y40" s="12" t="n">
        <f aca="false">Y39*Y13</f>
        <v>1080</v>
      </c>
      <c r="Z40" s="12" t="n">
        <f aca="false">Z39*Z13</f>
        <v>1710</v>
      </c>
      <c r="AA40" s="12" t="n">
        <f aca="false">AA39*AA13</f>
        <v>1800</v>
      </c>
      <c r="AB40" s="12" t="n">
        <f aca="false">AB39*AB13</f>
        <v>1890</v>
      </c>
      <c r="AC40" s="12" t="n">
        <f aca="false">AC39*AC13</f>
        <v>1980</v>
      </c>
      <c r="AD40" s="12" t="n">
        <f aca="false">AD39*AD13</f>
        <v>2070</v>
      </c>
      <c r="AE40" s="12" t="n">
        <f aca="false">AE39*AE13</f>
        <v>2160</v>
      </c>
      <c r="AF40" s="12" t="n">
        <f aca="false">AF39*AF13</f>
        <v>2250</v>
      </c>
      <c r="AG40" s="12" t="n">
        <f aca="false">AG39*AG13</f>
        <v>2340</v>
      </c>
      <c r="AH40" s="12" t="n">
        <f aca="false">AH39*AH13</f>
        <v>2430</v>
      </c>
      <c r="AI40" s="12" t="n">
        <f aca="false">AI39*AI13</f>
        <v>2520</v>
      </c>
      <c r="AJ40" s="12" t="n">
        <f aca="false">AJ39*AJ13</f>
        <v>2610</v>
      </c>
      <c r="AK40" s="12" t="n">
        <f aca="false">AK39*AK13</f>
        <v>2700</v>
      </c>
      <c r="AL40" s="12" t="n">
        <f aca="false">AL39*AL13</f>
        <v>3410</v>
      </c>
      <c r="AM40" s="12" t="n">
        <f aca="false">AM39*AM13</f>
        <v>3520</v>
      </c>
      <c r="AN40" s="12" t="n">
        <f aca="false">AN39*AN13</f>
        <v>3630</v>
      </c>
      <c r="AO40" s="12" t="n">
        <f aca="false">AO39*AO13</f>
        <v>3740</v>
      </c>
      <c r="AP40" s="12" t="n">
        <f aca="false">AP39*AP13</f>
        <v>3850</v>
      </c>
      <c r="AQ40" s="12" t="n">
        <f aca="false">AQ39*AQ13</f>
        <v>3960</v>
      </c>
      <c r="AR40" s="12" t="n">
        <f aca="false">AR39*AR13</f>
        <v>4070</v>
      </c>
      <c r="AS40" s="12" t="n">
        <f aca="false">AS39*AS13</f>
        <v>4180</v>
      </c>
      <c r="AT40" s="12" t="n">
        <f aca="false">AT39*AT13</f>
        <v>4290</v>
      </c>
      <c r="AU40" s="12" t="n">
        <f aca="false">AU39*AU13</f>
        <v>4400</v>
      </c>
      <c r="AV40" s="12" t="n">
        <f aca="false">AV39*AV13</f>
        <v>4510</v>
      </c>
      <c r="AW40" s="12" t="n">
        <f aca="false">AW39*AW13</f>
        <v>4620</v>
      </c>
      <c r="AX40" s="12" t="n">
        <f aca="false">AX39*AX13</f>
        <v>5590</v>
      </c>
      <c r="AY40" s="12" t="n">
        <f aca="false">AY39*AY13</f>
        <v>5720</v>
      </c>
      <c r="AZ40" s="12" t="n">
        <f aca="false">AZ39*AZ13</f>
        <v>5850</v>
      </c>
      <c r="BA40" s="12" t="n">
        <f aca="false">BA39*BA13</f>
        <v>5980</v>
      </c>
      <c r="BB40" s="12" t="n">
        <f aca="false">BB39*BB13</f>
        <v>6110</v>
      </c>
      <c r="BC40" s="12" t="n">
        <f aca="false">BC39*BC13</f>
        <v>6240</v>
      </c>
      <c r="BD40" s="12" t="n">
        <f aca="false">BD39*BD13</f>
        <v>6370</v>
      </c>
      <c r="BE40" s="12" t="n">
        <f aca="false">BE39*BE13</f>
        <v>6500</v>
      </c>
      <c r="BF40" s="12" t="n">
        <f aca="false">BF39*BF13</f>
        <v>6630</v>
      </c>
      <c r="BG40" s="12" t="n">
        <f aca="false">BG39*BG13</f>
        <v>6760</v>
      </c>
      <c r="BH40" s="12" t="n">
        <f aca="false">BH39*BH13</f>
        <v>6890</v>
      </c>
      <c r="BI40" s="12" t="n">
        <f aca="false">BI39*BI13</f>
        <v>7020</v>
      </c>
    </row>
    <row r="41" customFormat="false" ht="15" hidden="false" customHeight="true" outlineLevel="0" collapsed="false">
      <c r="A41" s="4" t="s">
        <v>421</v>
      </c>
      <c r="B41" s="10" t="n">
        <f aca="false">B40*INPUT!$B$10*(1-B19)</f>
        <v>12032.8787878788</v>
      </c>
      <c r="C41" s="10" t="n">
        <f aca="false">C40*INPUT!$B$10*(1-C19)</f>
        <v>13500.303030303</v>
      </c>
      <c r="D41" s="10" t="n">
        <f aca="false">D40*INPUT!$B$10*(1-D19)</f>
        <v>14967.7272727273</v>
      </c>
      <c r="E41" s="10" t="n">
        <f aca="false">E40*INPUT!$B$10*(1-E19)</f>
        <v>16435.1515151515</v>
      </c>
      <c r="F41" s="10" t="n">
        <f aca="false">F40*INPUT!$B$10*(1-F19)</f>
        <v>17902.5757575758</v>
      </c>
      <c r="G41" s="10" t="n">
        <f aca="false">G40*INPUT!$B$10*(1-G19)</f>
        <v>19370</v>
      </c>
      <c r="H41" s="10" t="n">
        <f aca="false">H40*INPUT!$B$10*(1-H19)</f>
        <v>20837.4242424242</v>
      </c>
      <c r="I41" s="10" t="n">
        <f aca="false">I40*INPUT!$B$10*(1-I19)</f>
        <v>22304.8484848485</v>
      </c>
      <c r="J41" s="10" t="n">
        <f aca="false">J40*INPUT!$B$10*(1-J19)</f>
        <v>23772.2727272727</v>
      </c>
      <c r="K41" s="10" t="n">
        <f aca="false">K40*INPUT!$B$10*(1-K19)</f>
        <v>25239.696969697</v>
      </c>
      <c r="L41" s="10" t="n">
        <f aca="false">L40*INPUT!$B$10*(1-L19)</f>
        <v>26707.1212121212</v>
      </c>
      <c r="M41" s="10" t="n">
        <f aca="false">M40*INPUT!$B$10*(1-M19)</f>
        <v>28174.5454545455</v>
      </c>
      <c r="N41" s="10" t="n">
        <f aca="false">N40*INPUT!$B$10*(1-N19)</f>
        <v>43074.5454545455</v>
      </c>
      <c r="O41" s="10" t="n">
        <f aca="false">O40*INPUT!$B$10*(1-O19)</f>
        <v>47138.1818181818</v>
      </c>
      <c r="P41" s="10" t="n">
        <f aca="false">P40*INPUT!$B$10*(1-P19)</f>
        <v>51201.8181818182</v>
      </c>
      <c r="Q41" s="10" t="n">
        <f aca="false">Q40*INPUT!$B$10*(1-Q19)</f>
        <v>55265.4545454545</v>
      </c>
      <c r="R41" s="10" t="n">
        <f aca="false">R40*INPUT!$B$10*(1-R19)</f>
        <v>59329.0909090909</v>
      </c>
      <c r="S41" s="10" t="n">
        <f aca="false">S40*INPUT!$B$10*(1-S19)</f>
        <v>63392.7272727273</v>
      </c>
      <c r="T41" s="10" t="n">
        <f aca="false">T40*INPUT!$B$10*(1-T19)</f>
        <v>67456.3636363636</v>
      </c>
      <c r="U41" s="10" t="n">
        <f aca="false">U40*INPUT!$B$10*(1-U19)</f>
        <v>71520</v>
      </c>
      <c r="V41" s="10" t="n">
        <f aca="false">V40*INPUT!$B$10*(1-V19)</f>
        <v>75583.6363636364</v>
      </c>
      <c r="W41" s="10" t="n">
        <f aca="false">W40*INPUT!$B$10*(1-W19)</f>
        <v>79647.2727272727</v>
      </c>
      <c r="X41" s="10" t="n">
        <f aca="false">X40*INPUT!$B$10*(1-X19)</f>
        <v>83710.9090909091</v>
      </c>
      <c r="Y41" s="10" t="n">
        <f aca="false">Y40*INPUT!$B$10*(1-Y19)</f>
        <v>87774.5454545455</v>
      </c>
      <c r="Z41" s="10" t="n">
        <f aca="false">Z40*INPUT!$B$10*(1-Z19)</f>
        <v>115813.636363636</v>
      </c>
      <c r="AA41" s="10" t="n">
        <f aca="false">AA40*INPUT!$B$10*(1-AA19)</f>
        <v>121909.090909091</v>
      </c>
      <c r="AB41" s="10" t="n">
        <f aca="false">AB40*INPUT!$B$10*(1-AB19)</f>
        <v>128004.545454545</v>
      </c>
      <c r="AC41" s="10" t="n">
        <f aca="false">AC40*INPUT!$B$10*(1-AC19)</f>
        <v>134100</v>
      </c>
      <c r="AD41" s="10" t="n">
        <f aca="false">AD40*INPUT!$B$10*(1-AD19)</f>
        <v>140195.454545455</v>
      </c>
      <c r="AE41" s="10" t="n">
        <f aca="false">AE40*INPUT!$B$10*(1-AE19)</f>
        <v>146290.909090909</v>
      </c>
      <c r="AF41" s="10" t="n">
        <f aca="false">AF40*INPUT!$B$10*(1-AF19)</f>
        <v>152386.363636364</v>
      </c>
      <c r="AG41" s="10" t="n">
        <f aca="false">AG40*INPUT!$B$10*(1-AG19)</f>
        <v>158481.818181818</v>
      </c>
      <c r="AH41" s="10" t="n">
        <f aca="false">AH40*INPUT!$B$10*(1-AH19)</f>
        <v>164577.272727273</v>
      </c>
      <c r="AI41" s="10" t="n">
        <f aca="false">AI40*INPUT!$B$10*(1-AI19)</f>
        <v>170672.727272727</v>
      </c>
      <c r="AJ41" s="10" t="n">
        <f aca="false">AJ40*INPUT!$B$10*(1-AJ19)</f>
        <v>176768.181818182</v>
      </c>
      <c r="AK41" s="10" t="n">
        <f aca="false">AK40*INPUT!$B$10*(1-AK19)</f>
        <v>182863.636363636</v>
      </c>
      <c r="AL41" s="10" t="n">
        <f aca="false">AL40*INPUT!$B$10*(1-AL19)</f>
        <v>230950</v>
      </c>
      <c r="AM41" s="10" t="n">
        <f aca="false">AM40*INPUT!$B$10*(1-AM19)</f>
        <v>238400</v>
      </c>
      <c r="AN41" s="10" t="n">
        <f aca="false">AN40*INPUT!$B$10*(1-AN19)</f>
        <v>245850</v>
      </c>
      <c r="AO41" s="10" t="n">
        <f aca="false">AO40*INPUT!$B$10*(1-AO19)</f>
        <v>253300</v>
      </c>
      <c r="AP41" s="10" t="n">
        <f aca="false">AP40*INPUT!$B$10*(1-AP19)</f>
        <v>260750</v>
      </c>
      <c r="AQ41" s="10" t="n">
        <f aca="false">AQ40*INPUT!$B$10*(1-AQ19)</f>
        <v>268200</v>
      </c>
      <c r="AR41" s="10" t="n">
        <f aca="false">AR40*INPUT!$B$10*(1-AR19)</f>
        <v>275650</v>
      </c>
      <c r="AS41" s="10" t="n">
        <f aca="false">AS40*INPUT!$B$10*(1-AS19)</f>
        <v>283100</v>
      </c>
      <c r="AT41" s="10" t="n">
        <f aca="false">AT40*INPUT!$B$10*(1-AT19)</f>
        <v>290550</v>
      </c>
      <c r="AU41" s="10" t="n">
        <f aca="false">AU40*INPUT!$B$10*(1-AU19)</f>
        <v>298000</v>
      </c>
      <c r="AV41" s="10" t="n">
        <f aca="false">AV40*INPUT!$B$10*(1-AV19)</f>
        <v>305450</v>
      </c>
      <c r="AW41" s="10" t="n">
        <f aca="false">AW40*INPUT!$B$10*(1-AW19)</f>
        <v>312900</v>
      </c>
      <c r="AX41" s="10" t="n">
        <f aca="false">AX40*INPUT!$B$10*(1-AX19)</f>
        <v>378595.454545455</v>
      </c>
      <c r="AY41" s="10" t="n">
        <f aca="false">AY40*INPUT!$B$10*(1-AY19)</f>
        <v>387400</v>
      </c>
      <c r="AZ41" s="10" t="n">
        <f aca="false">AZ40*INPUT!$B$10*(1-AZ19)</f>
        <v>396204.545454545</v>
      </c>
      <c r="BA41" s="10" t="n">
        <f aca="false">BA40*INPUT!$B$10*(1-BA19)</f>
        <v>405009.090909091</v>
      </c>
      <c r="BB41" s="10" t="n">
        <f aca="false">BB40*INPUT!$B$10*(1-BB19)</f>
        <v>413813.636363636</v>
      </c>
      <c r="BC41" s="10" t="n">
        <f aca="false">BC40*INPUT!$B$10*(1-BC19)</f>
        <v>422618.181818182</v>
      </c>
      <c r="BD41" s="10" t="n">
        <f aca="false">BD40*INPUT!$B$10*(1-BD19)</f>
        <v>431422.727272727</v>
      </c>
      <c r="BE41" s="10" t="n">
        <f aca="false">BE40*INPUT!$B$10*(1-BE19)</f>
        <v>440227.272727273</v>
      </c>
      <c r="BF41" s="10" t="n">
        <f aca="false">BF40*INPUT!$B$10*(1-BF19)</f>
        <v>449031.818181818</v>
      </c>
      <c r="BG41" s="10" t="n">
        <f aca="false">BG40*INPUT!$B$10*(1-BG19)</f>
        <v>457836.363636364</v>
      </c>
      <c r="BH41" s="10" t="n">
        <f aca="false">BH40*INPUT!$B$10*(1-BH19)</f>
        <v>466640.909090909</v>
      </c>
      <c r="BI41" s="10" t="n">
        <f aca="false">BI40*INPUT!$B$10*(1-BI19)</f>
        <v>475445.454545455</v>
      </c>
    </row>
    <row r="42" customFormat="false" ht="15" hidden="false" customHeight="true" outlineLevel="0" collapsed="false">
      <c r="A42" s="7" t="s">
        <v>422</v>
      </c>
      <c r="B42" s="8"/>
      <c r="C42" s="8"/>
      <c r="D42" s="8"/>
      <c r="E42" s="8"/>
      <c r="F42" s="8"/>
      <c r="G42" s="8"/>
    </row>
    <row r="43" customFormat="false" ht="15" hidden="false" customHeight="true" outlineLevel="0" collapsed="false">
      <c r="A43" s="11" t="s">
        <v>423</v>
      </c>
      <c r="B43" s="12" t="n">
        <f aca="false">B32*B17*B9</f>
        <v>5.9325</v>
      </c>
      <c r="C43" s="12" t="n">
        <f aca="false">B43*(1-C10)+C32*C17*C9</f>
        <v>12.0456</v>
      </c>
      <c r="D43" s="12" t="n">
        <f aca="false">C43*(1-D10)+D32*D17*D9</f>
        <v>18.317628</v>
      </c>
      <c r="E43" s="12" t="n">
        <f aca="false">D43*(1-E10)+E32*E17*E9</f>
        <v>24.72951264</v>
      </c>
      <c r="F43" s="12" t="n">
        <f aca="false">E43*(1-F10)+F32*F17*F9</f>
        <v>31.2644711232</v>
      </c>
      <c r="G43" s="12" t="n">
        <f aca="false">F43*(1-G10)+G32*G17*G9</f>
        <v>37.907734588416</v>
      </c>
      <c r="H43" s="12" t="n">
        <f aca="false">G43*(1-H10)+H32*H17*H9</f>
        <v>44.6463064378061</v>
      </c>
      <c r="I43" s="12" t="n">
        <f aca="false">H43*(1-I10)+I32*I17*I9</f>
        <v>51.4687496652694</v>
      </c>
      <c r="J43" s="12" t="n">
        <f aca="false">I43*(1-J10)+J32*J17*J9</f>
        <v>58.364999705437</v>
      </c>
      <c r="K43" s="12" t="n">
        <f aca="false">J43*(1-K10)+K32*K17*K9</f>
        <v>65.3261997407846</v>
      </c>
      <c r="L43" s="12" t="n">
        <f aca="false">K43*(1-L10)+L32*L17*L9</f>
        <v>72.3445557718904</v>
      </c>
      <c r="M43" s="12" t="n">
        <f aca="false">L43*(1-M10)+M32*M17*M9</f>
        <v>79.4132090792636</v>
      </c>
      <c r="N43" s="12" t="n">
        <f aca="false">M43*(1-N10)+N32*N17*N9</f>
        <v>87.429123989752</v>
      </c>
      <c r="O43" s="12" t="n">
        <f aca="false">N43*(1-O10)+O32*O17*O9</f>
        <v>96.2786291109817</v>
      </c>
      <c r="P43" s="12" t="n">
        <f aca="false">O43*(1-P10)+P32*P17*P9</f>
        <v>105.861693617664</v>
      </c>
      <c r="Q43" s="12" t="n">
        <f aca="false">P43*(1-Q10)+Q32*Q17*Q9</f>
        <v>116.090290383544</v>
      </c>
      <c r="R43" s="12" t="n">
        <f aca="false">Q43*(1-R10)+R32*R17*R9</f>
        <v>126.886955537519</v>
      </c>
      <c r="S43" s="12" t="n">
        <f aca="false">R43*(1-S10)+S32*S17*S9</f>
        <v>138.183520873017</v>
      </c>
      <c r="T43" s="12" t="n">
        <f aca="false">S43*(1-T10)+T32*T17*T9</f>
        <v>149.919998368255</v>
      </c>
      <c r="U43" s="12" t="n">
        <f aca="false">T43*(1-U10)+U32*U17*U9</f>
        <v>162.043598564064</v>
      </c>
      <c r="V43" s="12" t="n">
        <f aca="false">U43*(1-V10)+V32*V17*V9</f>
        <v>174.507866736376</v>
      </c>
      <c r="W43" s="12" t="n">
        <f aca="false">V43*(1-W10)+W32*W17*W9</f>
        <v>187.271922728011</v>
      </c>
      <c r="X43" s="12" t="n">
        <f aca="false">W43*(1-X10)+X32*X17*X9</f>
        <v>200.29979200065</v>
      </c>
      <c r="Y43" s="12" t="n">
        <f aca="false">X43*(1-Y10)+Y32*Y17*Y9</f>
        <v>213.559816960572</v>
      </c>
      <c r="Z43" s="12" t="n">
        <f aca="false">Y43*(1-Z10)+Z32*Z17*Z9</f>
        <v>227.171138925303</v>
      </c>
      <c r="AA43" s="12" t="n">
        <f aca="false">Z43*(1-AA10)+AA32*AA17*AA9</f>
        <v>241.091602254267</v>
      </c>
      <c r="AB43" s="12" t="n">
        <f aca="false">AA43*(1-AB10)+AB32*AB17*AB9</f>
        <v>255.284109983755</v>
      </c>
      <c r="AC43" s="12" t="n">
        <f aca="false">AB43*(1-AC10)+AC32*AC17*AC9</f>
        <v>269.716016785704</v>
      </c>
      <c r="AD43" s="12" t="n">
        <f aca="false">AC43*(1-AD10)+AD32*AD17*AD9</f>
        <v>284.35859477142</v>
      </c>
      <c r="AE43" s="12" t="n">
        <f aca="false">AD43*(1-AE10)+AE32*AE17*AE9</f>
        <v>299.186563398849</v>
      </c>
      <c r="AF43" s="12" t="n">
        <f aca="false">AE43*(1-AF10)+AF32*AF17*AF9</f>
        <v>314.177675790987</v>
      </c>
      <c r="AG43" s="12" t="n">
        <f aca="false">AF43*(1-AG10)+AG32*AG17*AG9</f>
        <v>329.312354696069</v>
      </c>
      <c r="AH43" s="12" t="n">
        <f aca="false">AG43*(1-AH10)+AH32*AH17*AH9</f>
        <v>344.573372132541</v>
      </c>
      <c r="AI43" s="12" t="n">
        <f aca="false">AH43*(1-AI10)+AI32*AI17*AI9</f>
        <v>359.945567476636</v>
      </c>
      <c r="AJ43" s="12" t="n">
        <f aca="false">AI43*(1-AJ10)+AJ32*AJ17*AJ9</f>
        <v>375.41559937944</v>
      </c>
      <c r="AK43" s="12" t="n">
        <f aca="false">AJ43*(1-AK10)+AK32*AK17*AK9</f>
        <v>390.971727453907</v>
      </c>
      <c r="AL43" s="12" t="n">
        <f aca="false">AK43*(1-AL10)+AL32*AL17*AL9</f>
        <v>406.435620159438</v>
      </c>
      <c r="AM43" s="12" t="n">
        <f aca="false">AL43*(1-AM10)+AM32*AM17*AM9</f>
        <v>421.818345740305</v>
      </c>
      <c r="AN43" s="12" t="n">
        <f aca="false">AM43*(1-AN10)+AN32*AN17*AN9</f>
        <v>437.129644251469</v>
      </c>
      <c r="AO43" s="12" t="n">
        <f aca="false">AN43*(1-AO10)+AO32*AO17*AO9</f>
        <v>452.378086941293</v>
      </c>
      <c r="AP43" s="12" t="n">
        <f aca="false">AO43*(1-AP10)+AP32*AP17*AP9</f>
        <v>467.571216508337</v>
      </c>
      <c r="AQ43" s="12" t="n">
        <f aca="false">AP43*(1-AQ10)+AQ32*AQ17*AQ9</f>
        <v>482.715670527337</v>
      </c>
      <c r="AR43" s="12" t="n">
        <f aca="false">AQ43*(1-AR10)+AR32*AR17*AR9</f>
        <v>497.817290064057</v>
      </c>
      <c r="AS43" s="12" t="n">
        <f aca="false">AR43*(1-AS10)+AS32*AS17*AS9</f>
        <v>512.88121525637</v>
      </c>
      <c r="AT43" s="12" t="n">
        <f aca="false">AS43*(1-AT10)+AT32*AT17*AT9</f>
        <v>527.911969425605</v>
      </c>
      <c r="AU43" s="12" t="n">
        <f aca="false">AT43*(1-AU10)+AU32*AU17*AU9</f>
        <v>542.913533094533</v>
      </c>
      <c r="AV43" s="12" t="n">
        <f aca="false">AU43*(1-AV10)+AV32*AV17*AV9</f>
        <v>557.889409123189</v>
      </c>
      <c r="AW43" s="12" t="n">
        <f aca="false">AV43*(1-AW10)+AW32*AW17*AW9</f>
        <v>572.842680028406</v>
      </c>
      <c r="AX43" s="12" t="n">
        <f aca="false">AW43*(1-AX10)+AX32*AX17*AX9</f>
        <v>587.933558424997</v>
      </c>
      <c r="AY43" s="12" t="n">
        <f aca="false">AX43*(1-AY10)+AY32*AY17*AY9</f>
        <v>603.145531413998</v>
      </c>
      <c r="AZ43" s="12" t="n">
        <f aca="false">AY43*(1-AZ10)+AZ32*AZ17*AZ9</f>
        <v>618.464067644318</v>
      </c>
      <c r="BA43" s="12" t="n">
        <f aca="false">AZ43*(1-BA10)+BA32*BA17*BA9</f>
        <v>633.876379527</v>
      </c>
      <c r="BB43" s="12" t="n">
        <f aca="false">BA43*(1-BB10)+BB32*BB17*BB9</f>
        <v>649.37121398376</v>
      </c>
      <c r="BC43" s="12" t="n">
        <f aca="false">BB43*(1-BC10)+BC32*BC17*BC9</f>
        <v>664.938668305709</v>
      </c>
      <c r="BD43" s="12" t="n">
        <f aca="false">BC43*(1-BD10)+BD32*BD17*BD9</f>
        <v>680.570028109024</v>
      </c>
      <c r="BE43" s="12" t="n">
        <f aca="false">BD43*(1-BE10)+BE32*BE17*BE9</f>
        <v>696.257624735941</v>
      </c>
      <c r="BF43" s="12" t="n">
        <f aca="false">BE43*(1-BF10)+BF32*BF17*BF9</f>
        <v>711.994709767628</v>
      </c>
      <c r="BG43" s="12" t="n">
        <f aca="false">BF43*(1-BG10)+BG32*BG17*BG9</f>
        <v>727.775344595513</v>
      </c>
      <c r="BH43" s="12" t="n">
        <f aca="false">BG43*(1-BH10)+BH32*BH17*BH9</f>
        <v>743.594303244051</v>
      </c>
      <c r="BI43" s="12" t="n">
        <f aca="false">BH43*(1-BI10)+BI32*BI17*BI9</f>
        <v>759.446986854765</v>
      </c>
    </row>
    <row r="44" customFormat="false" ht="15" hidden="false" customHeight="true" outlineLevel="0" collapsed="false">
      <c r="A44" s="11" t="s">
        <v>424</v>
      </c>
      <c r="B44" s="12" t="n">
        <f aca="false">0</f>
        <v>0</v>
      </c>
      <c r="C44" s="12" t="n">
        <f aca="false">B43</f>
        <v>5.9325</v>
      </c>
      <c r="D44" s="12" t="n">
        <f aca="false">C43</f>
        <v>12.0456</v>
      </c>
      <c r="E44" s="12" t="n">
        <f aca="false">D43</f>
        <v>18.317628</v>
      </c>
      <c r="F44" s="12" t="n">
        <f aca="false">E43</f>
        <v>24.72951264</v>
      </c>
      <c r="G44" s="12" t="n">
        <f aca="false">F43</f>
        <v>31.2644711232</v>
      </c>
      <c r="H44" s="12" t="n">
        <f aca="false">G43</f>
        <v>37.907734588416</v>
      </c>
      <c r="I44" s="12" t="n">
        <f aca="false">H43</f>
        <v>44.6463064378061</v>
      </c>
      <c r="J44" s="12" t="n">
        <f aca="false">I43</f>
        <v>51.4687496652694</v>
      </c>
      <c r="K44" s="12" t="n">
        <f aca="false">J43</f>
        <v>58.364999705437</v>
      </c>
      <c r="L44" s="12" t="n">
        <f aca="false">K43</f>
        <v>65.3261997407846</v>
      </c>
      <c r="M44" s="12" t="n">
        <f aca="false">L43</f>
        <v>72.3445557718904</v>
      </c>
      <c r="N44" s="12" t="n">
        <f aca="false">M43</f>
        <v>79.4132090792636</v>
      </c>
      <c r="O44" s="12" t="n">
        <f aca="false">N43</f>
        <v>87.429123989752</v>
      </c>
      <c r="P44" s="12" t="n">
        <f aca="false">O43</f>
        <v>96.2786291109817</v>
      </c>
      <c r="Q44" s="12" t="n">
        <f aca="false">P43</f>
        <v>105.861693617664</v>
      </c>
      <c r="R44" s="12" t="n">
        <f aca="false">Q43</f>
        <v>116.090290383544</v>
      </c>
      <c r="S44" s="12" t="n">
        <f aca="false">R43</f>
        <v>126.886955537519</v>
      </c>
      <c r="T44" s="12" t="n">
        <f aca="false">S43</f>
        <v>138.183520873017</v>
      </c>
      <c r="U44" s="12" t="n">
        <f aca="false">T43</f>
        <v>149.919998368255</v>
      </c>
      <c r="V44" s="12" t="n">
        <f aca="false">U43</f>
        <v>162.043598564064</v>
      </c>
      <c r="W44" s="12" t="n">
        <f aca="false">V43</f>
        <v>174.507866736376</v>
      </c>
      <c r="X44" s="12" t="n">
        <f aca="false">W43</f>
        <v>187.271922728011</v>
      </c>
      <c r="Y44" s="12" t="n">
        <f aca="false">X43</f>
        <v>200.29979200065</v>
      </c>
      <c r="Z44" s="12" t="n">
        <f aca="false">Y43</f>
        <v>213.559816960572</v>
      </c>
      <c r="AA44" s="12" t="n">
        <f aca="false">Z43</f>
        <v>227.171138925303</v>
      </c>
      <c r="AB44" s="12" t="n">
        <f aca="false">AA43</f>
        <v>241.091602254267</v>
      </c>
      <c r="AC44" s="12" t="n">
        <f aca="false">AB43</f>
        <v>255.284109983755</v>
      </c>
      <c r="AD44" s="12" t="n">
        <f aca="false">AC43</f>
        <v>269.716016785704</v>
      </c>
      <c r="AE44" s="12" t="n">
        <f aca="false">AD43</f>
        <v>284.35859477142</v>
      </c>
      <c r="AF44" s="12" t="n">
        <f aca="false">AE43</f>
        <v>299.186563398849</v>
      </c>
      <c r="AG44" s="12" t="n">
        <f aca="false">AF43</f>
        <v>314.177675790987</v>
      </c>
      <c r="AH44" s="12" t="n">
        <f aca="false">AG43</f>
        <v>329.312354696069</v>
      </c>
      <c r="AI44" s="12" t="n">
        <f aca="false">AH43</f>
        <v>344.573372132541</v>
      </c>
      <c r="AJ44" s="12" t="n">
        <f aca="false">AI43</f>
        <v>359.945567476636</v>
      </c>
      <c r="AK44" s="12" t="n">
        <f aca="false">AJ43</f>
        <v>375.41559937944</v>
      </c>
      <c r="AL44" s="12" t="n">
        <f aca="false">AK43</f>
        <v>390.971727453907</v>
      </c>
      <c r="AM44" s="12" t="n">
        <f aca="false">AL43</f>
        <v>406.435620159438</v>
      </c>
      <c r="AN44" s="12" t="n">
        <f aca="false">AM43</f>
        <v>421.818345740305</v>
      </c>
      <c r="AO44" s="12" t="n">
        <f aca="false">AN43</f>
        <v>437.129644251469</v>
      </c>
      <c r="AP44" s="12" t="n">
        <f aca="false">AO43</f>
        <v>452.378086941293</v>
      </c>
      <c r="AQ44" s="12" t="n">
        <f aca="false">AP43</f>
        <v>467.571216508337</v>
      </c>
      <c r="AR44" s="12" t="n">
        <f aca="false">AQ43</f>
        <v>482.715670527337</v>
      </c>
      <c r="AS44" s="12" t="n">
        <f aca="false">AR43</f>
        <v>497.817290064057</v>
      </c>
      <c r="AT44" s="12" t="n">
        <f aca="false">AS43</f>
        <v>512.88121525637</v>
      </c>
      <c r="AU44" s="12" t="n">
        <f aca="false">AT43</f>
        <v>527.911969425605</v>
      </c>
      <c r="AV44" s="12" t="n">
        <f aca="false">AU43</f>
        <v>542.913533094533</v>
      </c>
      <c r="AW44" s="12" t="n">
        <f aca="false">AV43</f>
        <v>557.889409123189</v>
      </c>
      <c r="AX44" s="12" t="n">
        <f aca="false">AW43</f>
        <v>572.842680028406</v>
      </c>
      <c r="AY44" s="12" t="n">
        <f aca="false">AX43</f>
        <v>587.933558424997</v>
      </c>
      <c r="AZ44" s="12" t="n">
        <f aca="false">AY43</f>
        <v>603.145531413998</v>
      </c>
      <c r="BA44" s="12" t="n">
        <f aca="false">AZ43</f>
        <v>618.464067644318</v>
      </c>
      <c r="BB44" s="12" t="n">
        <f aca="false">BA43</f>
        <v>633.876379527</v>
      </c>
      <c r="BC44" s="12" t="n">
        <f aca="false">BB43</f>
        <v>649.37121398376</v>
      </c>
      <c r="BD44" s="12" t="n">
        <f aca="false">BC43</f>
        <v>664.938668305709</v>
      </c>
      <c r="BE44" s="12" t="n">
        <f aca="false">BD43</f>
        <v>680.570028109024</v>
      </c>
      <c r="BF44" s="12" t="n">
        <f aca="false">BE43</f>
        <v>696.257624735941</v>
      </c>
      <c r="BG44" s="12" t="n">
        <f aca="false">BF43</f>
        <v>711.994709767628</v>
      </c>
      <c r="BH44" s="12" t="n">
        <f aca="false">BG43</f>
        <v>727.775344595513</v>
      </c>
      <c r="BI44" s="12" t="n">
        <f aca="false">BH43</f>
        <v>743.594303244051</v>
      </c>
    </row>
    <row r="45" customFormat="false" ht="15" hidden="false" customHeight="true" outlineLevel="0" collapsed="false">
      <c r="A45" s="4" t="s">
        <v>425</v>
      </c>
      <c r="B45" s="10" t="n">
        <f aca="false">B44*INPUT!$B$10</f>
        <v>0</v>
      </c>
      <c r="C45" s="10" t="n">
        <f aca="false">C44*INPUT!$B$10</f>
        <v>803.584090909091</v>
      </c>
      <c r="D45" s="10" t="n">
        <f aca="false">D44*INPUT!$B$10</f>
        <v>1631.63127272727</v>
      </c>
      <c r="E45" s="10" t="n">
        <f aca="false">E44*INPUT!$B$10</f>
        <v>2481.20597454545</v>
      </c>
      <c r="F45" s="10" t="n">
        <f aca="false">F44*INPUT!$B$10</f>
        <v>3349.72489396364</v>
      </c>
      <c r="G45" s="10" t="n">
        <f aca="false">G44*INPUT!$B$10</f>
        <v>4234.91472486982</v>
      </c>
      <c r="H45" s="10" t="n">
        <f aca="false">H44*INPUT!$B$10</f>
        <v>5134.77495788544</v>
      </c>
      <c r="I45" s="10" t="n">
        <f aca="false">I44*INPUT!$B$10</f>
        <v>6047.54514475737</v>
      </c>
      <c r="J45" s="10" t="n">
        <f aca="false">J44*INPUT!$B$10</f>
        <v>6971.67609102285</v>
      </c>
      <c r="K45" s="10" t="n">
        <f aca="false">K44*INPUT!$B$10</f>
        <v>7905.80450555465</v>
      </c>
      <c r="L45" s="10" t="n">
        <f aca="false">L44*INPUT!$B$10</f>
        <v>8848.73069216082</v>
      </c>
      <c r="M45" s="10" t="n">
        <f aca="false">M44*INPUT!$B$10</f>
        <v>9799.39891819243</v>
      </c>
      <c r="N45" s="10" t="n">
        <f aca="false">N44*INPUT!$B$10</f>
        <v>10756.8801389184</v>
      </c>
      <c r="O45" s="10" t="n">
        <f aca="false">O44*INPUT!$B$10</f>
        <v>11842.6722495209</v>
      </c>
      <c r="P45" s="10" t="n">
        <f aca="false">P44*INPUT!$B$10</f>
        <v>13041.3779432148</v>
      </c>
      <c r="Q45" s="10" t="n">
        <f aca="false">Q44*INPUT!$B$10</f>
        <v>14339.447590029</v>
      </c>
      <c r="R45" s="10" t="n">
        <f aca="false">R44*INPUT!$B$10</f>
        <v>15724.9575155892</v>
      </c>
      <c r="S45" s="10" t="n">
        <f aca="false">S44*INPUT!$B$10</f>
        <v>17187.4148864457</v>
      </c>
      <c r="T45" s="10" t="n">
        <f aca="false">T44*INPUT!$B$10</f>
        <v>18717.5860091632</v>
      </c>
      <c r="U45" s="10" t="n">
        <f aca="false">U44*INPUT!$B$10</f>
        <v>20307.3452335181</v>
      </c>
      <c r="V45" s="10" t="n">
        <f aca="false">V44*INPUT!$B$10</f>
        <v>21949.5419873141</v>
      </c>
      <c r="W45" s="10" t="n">
        <f aca="false">W44*INPUT!$B$10</f>
        <v>23637.8837670183</v>
      </c>
      <c r="X45" s="10" t="n">
        <f aca="false">X44*INPUT!$B$10</f>
        <v>25366.8331695215</v>
      </c>
      <c r="Y45" s="10" t="n">
        <f aca="false">Y44*INPUT!$B$10</f>
        <v>27131.517280088</v>
      </c>
      <c r="Z45" s="10" t="n">
        <f aca="false">Z44*INPUT!$B$10</f>
        <v>28927.6479337502</v>
      </c>
      <c r="AA45" s="10" t="n">
        <f aca="false">AA44*INPUT!$B$10</f>
        <v>30771.3633635183</v>
      </c>
      <c r="AB45" s="10" t="n">
        <f aca="false">AB44*INPUT!$B$10</f>
        <v>32656.9533962598</v>
      </c>
      <c r="AC45" s="10" t="n">
        <f aca="false">AC44*INPUT!$B$10</f>
        <v>34579.3930796177</v>
      </c>
      <c r="AD45" s="10" t="n">
        <f aca="false">AD44*INPUT!$B$10</f>
        <v>36534.2604555181</v>
      </c>
      <c r="AE45" s="10" t="n">
        <f aca="false">AE44*INPUT!$B$10</f>
        <v>38517.6642008559</v>
      </c>
      <c r="AF45" s="10" t="n">
        <f aca="false">AF44*INPUT!$B$10</f>
        <v>40526.1799512987</v>
      </c>
      <c r="AG45" s="10" t="n">
        <f aca="false">AG44*INPUT!$B$10</f>
        <v>42556.7942662338</v>
      </c>
      <c r="AH45" s="10" t="n">
        <f aca="false">AH44*INPUT!$B$10</f>
        <v>44606.8553179221</v>
      </c>
      <c r="AI45" s="10" t="n">
        <f aca="false">AI44*INPUT!$B$10</f>
        <v>46674.0294979532</v>
      </c>
      <c r="AJ45" s="10" t="n">
        <f aca="false">AJ44*INPUT!$B$10</f>
        <v>48756.2632309261</v>
      </c>
      <c r="AK45" s="10" t="n">
        <f aca="false">AK44*INPUT!$B$10</f>
        <v>50851.7493704877</v>
      </c>
      <c r="AL45" s="10" t="n">
        <f aca="false">AL44*INPUT!$B$10</f>
        <v>52958.8976278474</v>
      </c>
      <c r="AM45" s="10" t="n">
        <f aca="false">AM44*INPUT!$B$10</f>
        <v>55053.552185233</v>
      </c>
      <c r="AN45" s="10" t="n">
        <f aca="false">AN44*INPUT!$B$10</f>
        <v>57137.2122866414</v>
      </c>
      <c r="AO45" s="10" t="n">
        <f aca="false">AO44*INPUT!$B$10</f>
        <v>59211.1972667899</v>
      </c>
      <c r="AP45" s="10" t="n">
        <f aca="false">AP44*INPUT!$B$10</f>
        <v>61276.6681402296</v>
      </c>
      <c r="AQ45" s="10" t="n">
        <f aca="false">AQ44*INPUT!$B$10</f>
        <v>63334.6465997657</v>
      </c>
      <c r="AR45" s="10" t="n">
        <f aca="false">AR44*INPUT!$B$10</f>
        <v>65386.0317350665</v>
      </c>
      <c r="AS45" s="10" t="n">
        <f aca="false">AS44*INPUT!$B$10</f>
        <v>67431.6147450404</v>
      </c>
      <c r="AT45" s="10" t="n">
        <f aca="false">AT44*INPUT!$B$10</f>
        <v>69472.0918847264</v>
      </c>
      <c r="AU45" s="10" t="n">
        <f aca="false">AU44*INPUT!$B$10</f>
        <v>71508.0758585593</v>
      </c>
      <c r="AV45" s="10" t="n">
        <f aca="false">AV44*INPUT!$B$10</f>
        <v>73540.1058464412</v>
      </c>
      <c r="AW45" s="10" t="n">
        <f aca="false">AW44*INPUT!$B$10</f>
        <v>75568.6563266865</v>
      </c>
      <c r="AX45" s="10" t="n">
        <f aca="false">AX44*INPUT!$B$10</f>
        <v>77594.1448402114</v>
      </c>
      <c r="AY45" s="10" t="n">
        <f aca="false">AY44*INPUT!$B$10</f>
        <v>79638.2729139314</v>
      </c>
      <c r="AZ45" s="10" t="n">
        <f aca="false">AZ44*INPUT!$B$10</f>
        <v>81698.8038006233</v>
      </c>
      <c r="BA45" s="10" t="n">
        <f aca="false">BA44*INPUT!$B$10</f>
        <v>83773.7691627303</v>
      </c>
      <c r="BB45" s="10" t="n">
        <f aca="false">BB44*INPUT!$B$10</f>
        <v>85861.4368632027</v>
      </c>
      <c r="BC45" s="10" t="n">
        <f aca="false">BC44*INPUT!$B$10</f>
        <v>87960.2826214365</v>
      </c>
      <c r="BD45" s="10" t="n">
        <f aca="false">BD44*INPUT!$B$10</f>
        <v>90068.9650705005</v>
      </c>
      <c r="BE45" s="10" t="n">
        <f aca="false">BE44*INPUT!$B$10</f>
        <v>92186.303807495</v>
      </c>
      <c r="BF45" s="10" t="n">
        <f aca="false">BF44*INPUT!$B$10</f>
        <v>94311.2600778683</v>
      </c>
      <c r="BG45" s="10" t="n">
        <f aca="false">BG44*INPUT!$B$10</f>
        <v>96442.919777615</v>
      </c>
      <c r="BH45" s="10" t="n">
        <f aca="false">BH44*INPUT!$B$10</f>
        <v>98580.4784952103</v>
      </c>
      <c r="BI45" s="10" t="n">
        <f aca="false">BI44*INPUT!$B$10</f>
        <v>100723.228348512</v>
      </c>
    </row>
    <row r="46" customFormat="false" ht="15" hidden="false" customHeight="true" outlineLevel="0" collapsed="false">
      <c r="A46" s="7" t="s">
        <v>426</v>
      </c>
      <c r="B46" s="8"/>
      <c r="C46" s="8"/>
      <c r="D46" s="8"/>
      <c r="E46" s="8"/>
      <c r="F46" s="8"/>
      <c r="G46" s="8"/>
    </row>
    <row r="47" customFormat="false" ht="15" hidden="false" customHeight="true" outlineLevel="0" collapsed="false">
      <c r="A47" s="4" t="s">
        <v>427</v>
      </c>
      <c r="B47" s="10" t="n">
        <f aca="false">B28+B37+B41+B45</f>
        <v>59487.3302010489</v>
      </c>
      <c r="C47" s="10" t="n">
        <f aca="false">C28+C37+C41+C45</f>
        <v>73667.5854020979</v>
      </c>
      <c r="D47" s="10" t="n">
        <f aca="false">D28+D37+D41+D45</f>
        <v>87088.7512465035</v>
      </c>
      <c r="E47" s="10" t="n">
        <f aca="false">E28+E37+E41+E45</f>
        <v>99833.9995759441</v>
      </c>
      <c r="F47" s="10" t="n">
        <f aca="false">F28+F37+F41+F45</f>
        <v>111976.719583124</v>
      </c>
      <c r="G47" s="10" t="n">
        <f aca="false">G28+G37+G41+G45</f>
        <v>123581.686780352</v>
      </c>
      <c r="H47" s="10" t="n">
        <f aca="false">H28+H37+H41+H45</f>
        <v>134706.091815617</v>
      </c>
      <c r="I47" s="10" t="n">
        <f aca="false">I28+I37+I41+I45</f>
        <v>145400.445951381</v>
      </c>
      <c r="J47" s="10" t="n">
        <f aca="false">J28+J37+J41+J45</f>
        <v>155709.378003533</v>
      </c>
      <c r="K47" s="10" t="n">
        <f aca="false">K28+K37+K41+K45</f>
        <v>165672.335762357</v>
      </c>
      <c r="L47" s="10" t="n">
        <f aca="false">L28+L37+L41+L45</f>
        <v>175324.203354799</v>
      </c>
      <c r="M47" s="10" t="n">
        <f aca="false">M28+M37+M41+M45</f>
        <v>184695.844632276</v>
      </c>
      <c r="N47" s="10" t="n">
        <f aca="false">N28+N37+N41+N45</f>
        <v>229543.027122999</v>
      </c>
      <c r="O47" s="10" t="n">
        <f aca="false">O28+O37+O41+O45</f>
        <v>255891.102333123</v>
      </c>
      <c r="P47" s="10" t="n">
        <f aca="false">P28+P37+P41+P45</f>
        <v>281104.153431627</v>
      </c>
      <c r="Q47" s="10" t="n">
        <f aca="false">Q28+Q37+Q41+Q45</f>
        <v>305302.074954973</v>
      </c>
      <c r="R47" s="10" t="n">
        <f aca="false">R28+R37+R41+R45</f>
        <v>328590.781804174</v>
      </c>
      <c r="S47" s="10" t="n">
        <f aca="false">S28+S37+S41+S45</f>
        <v>351063.87660832</v>
      </c>
      <c r="T47" s="10" t="n">
        <f aca="false">T28+T37+T41+T45</f>
        <v>372804.117259305</v>
      </c>
      <c r="U47" s="10" t="n">
        <f aca="false">U28+U37+U41+U45</f>
        <v>393884.708590834</v>
      </c>
      <c r="V47" s="10" t="n">
        <f aca="false">V28+V37+V41+V45</f>
        <v>414370.439298184</v>
      </c>
      <c r="W47" s="10" t="n">
        <f aca="false">W28+W37+W41+W45</f>
        <v>434318.682663777</v>
      </c>
      <c r="X47" s="10" t="n">
        <f aca="false">X28+X37+X41+X45</f>
        <v>453780.277425953</v>
      </c>
      <c r="Y47" s="10" t="n">
        <f aca="false">Y28+Y37+Y41+Y45</f>
        <v>472800.30316802</v>
      </c>
      <c r="Z47" s="10" t="n">
        <f aca="false">Z28+Z37+Z41+Z45</f>
        <v>522448.137392504</v>
      </c>
      <c r="AA47" s="10" t="n">
        <f aca="false">AA28+AA37+AA41+AA45</f>
        <v>553479.666601337</v>
      </c>
      <c r="AB47" s="10" t="n">
        <f aca="false">AB28+AB37+AB41+AB45</f>
        <v>583183.726040237</v>
      </c>
      <c r="AC47" s="10" t="n">
        <f aca="false">AC28+AC37+AC41+AC45</f>
        <v>611697.363698445</v>
      </c>
      <c r="AD47" s="10" t="n">
        <f aca="false">AD28+AD37+AD41+AD45</f>
        <v>639141.738016072</v>
      </c>
      <c r="AE47" s="10" t="n">
        <f aca="false">AE28+AE37+AE41+AE45</f>
        <v>665624.010724755</v>
      </c>
      <c r="AF47" s="10" t="n">
        <f aca="false">AF28+AF37+AF41+AF45</f>
        <v>691239.012895065</v>
      </c>
      <c r="AG47" s="10" t="n">
        <f aca="false">AG28+AG37+AG41+AG45</f>
        <v>716070.711397167</v>
      </c>
      <c r="AH47" s="10" t="n">
        <f aca="false">AH28+AH37+AH41+AH45</f>
        <v>740193.499716669</v>
      </c>
      <c r="AI47" s="10" t="n">
        <f aca="false">AI28+AI37+AI41+AI45</f>
        <v>763673.334194767</v>
      </c>
      <c r="AJ47" s="10" t="n">
        <f aca="false">AJ28+AJ37+AJ41+AJ45</f>
        <v>786568.734233734</v>
      </c>
      <c r="AK47" s="10" t="n">
        <f aca="false">AK28+AK37+AK41+AK45</f>
        <v>808931.662784038</v>
      </c>
      <c r="AL47" s="10" t="n">
        <f aca="false">AL28+AL37+AL41+AL45</f>
        <v>911083.454735047</v>
      </c>
      <c r="AM47" s="10" t="n">
        <f aca="false">AM28+AM37+AM41+AM45</f>
        <v>951060.21245732</v>
      </c>
      <c r="AN47" s="10" t="n">
        <f aca="false">AN28+AN37+AN41+AN45</f>
        <v>989084.747800068</v>
      </c>
      <c r="AO47" s="10" t="n">
        <f aca="false">AO28+AO37+AO41+AO45</f>
        <v>1025359.51035447</v>
      </c>
      <c r="AP47" s="10" t="n">
        <f aca="false">AP28+AP37+AP41+AP45</f>
        <v>1060063.45118813</v>
      </c>
      <c r="AQ47" s="10" t="n">
        <f aca="false">AQ28+AQ37+AQ41+AQ45</f>
        <v>1093354.82278222</v>
      </c>
      <c r="AR47" s="10" t="n">
        <f aca="false">AR28+AR37+AR41+AR45</f>
        <v>1125373.64347327</v>
      </c>
      <c r="AS47" s="10" t="n">
        <f aca="false">AS28+AS37+AS41+AS45</f>
        <v>1156243.86664678</v>
      </c>
      <c r="AT47" s="10" t="n">
        <f aca="false">AT28+AT37+AT41+AT45</f>
        <v>1186075.29010003</v>
      </c>
      <c r="AU47" s="10" t="n">
        <f aca="false">AU28+AU37+AU41+AU45</f>
        <v>1214965.23674225</v>
      </c>
      <c r="AV47" s="10" t="n">
        <f aca="false">AV28+AV37+AV41+AV45</f>
        <v>1243000.03406001</v>
      </c>
      <c r="AW47" s="10" t="n">
        <f aca="false">AW28+AW37+AW41+AW45</f>
        <v>1270256.31648474</v>
      </c>
      <c r="AX47" s="10" t="n">
        <f aca="false">AX28+AX37+AX41+AX45</f>
        <v>1393075.06598837</v>
      </c>
      <c r="AY47" s="10" t="n">
        <f aca="false">AY28+AY37+AY41+AY45</f>
        <v>1437868.05104246</v>
      </c>
      <c r="AZ47" s="10" t="n">
        <f aca="false">AZ28+AZ37+AZ41+AZ45</f>
        <v>1480601.07171725</v>
      </c>
      <c r="BA47" s="10" t="n">
        <f aca="false">BA28+BA37+BA41+BA45</f>
        <v>1521482.85739259</v>
      </c>
      <c r="BB47" s="10" t="n">
        <f aca="false">BB28+BB37+BB41+BB45</f>
        <v>1560698.05158136</v>
      </c>
      <c r="BC47" s="10" t="n">
        <f aca="false">BC28+BC37+BC41+BC45</f>
        <v>1598410.07819211</v>
      </c>
      <c r="BD47" s="10" t="n">
        <f aca="false">BD28+BD37+BD41+BD45</f>
        <v>1634763.66444106</v>
      </c>
      <c r="BE47" s="10" t="n">
        <f aca="false">BE28+BE37+BE41+BE45</f>
        <v>1669887.06160086</v>
      </c>
      <c r="BF47" s="10" t="n">
        <f aca="false">BF28+BF37+BF41+BF45</f>
        <v>1703893.99983067</v>
      </c>
      <c r="BG47" s="10" t="n">
        <f aca="false">BG28+BG37+BG41+BG45</f>
        <v>1736885.40898388</v>
      </c>
      <c r="BH47" s="10" t="n">
        <f aca="false">BH28+BH37+BH41+BH45</f>
        <v>1768950.93346189</v>
      </c>
      <c r="BI47" s="10" t="n">
        <f aca="false">BI28+BI37+BI41+BI45</f>
        <v>1800170.26581516</v>
      </c>
    </row>
    <row r="48" customFormat="false" ht="15" hidden="false" customHeight="true" outlineLevel="0" collapsed="false">
      <c r="A48" s="7" t="s">
        <v>428</v>
      </c>
      <c r="B48" s="8"/>
      <c r="C48" s="8"/>
      <c r="D48" s="8"/>
      <c r="E48" s="8"/>
      <c r="F48" s="8"/>
      <c r="G48" s="8"/>
    </row>
    <row r="49" customFormat="false" ht="15" hidden="false" customHeight="true" outlineLevel="0" collapsed="false">
      <c r="A49" s="11" t="s">
        <v>429</v>
      </c>
      <c r="B49" s="12" t="n">
        <f aca="false">B27+B33+B40+B44</f>
        <v>567.596153846154</v>
      </c>
      <c r="C49" s="12" t="n">
        <f aca="false">C27+C33+C40+C44</f>
        <v>691.124807692308</v>
      </c>
      <c r="D49" s="12" t="n">
        <f aca="false">D27+D33+D40+D44</f>
        <v>808.8956</v>
      </c>
      <c r="E49" s="12" t="n">
        <f aca="false">E27+E33+E40+E44</f>
        <v>921.526397230769</v>
      </c>
      <c r="F49" s="12" t="n">
        <f aca="false">F27+F33+F40+F44</f>
        <v>1029.56274879385</v>
      </c>
      <c r="G49" s="12" t="n">
        <f aca="false">G27+G33+G40+G44</f>
        <v>1133.48651941935</v>
      </c>
      <c r="H49" s="12" t="n">
        <f aca="false">H27+H33+H40+H44</f>
        <v>1233.72348678855</v>
      </c>
      <c r="I49" s="12" t="n">
        <f aca="false">I27+I33+I40+I44</f>
        <v>1330.65002856172</v>
      </c>
      <c r="J49" s="12" t="n">
        <f aca="false">J27+J33+J40+J44</f>
        <v>1424.59900804819</v>
      </c>
      <c r="K49" s="12" t="n">
        <f aca="false">K27+K33+K40+K44</f>
        <v>1515.86495465421</v>
      </c>
      <c r="L49" s="12" t="n">
        <f aca="false">L27+L33+L40+L44</f>
        <v>1604.70862370897</v>
      </c>
      <c r="M49" s="12" t="n">
        <f aca="false">M27+M33+M40+M44</f>
        <v>1691.36101011761</v>
      </c>
      <c r="N49" s="12" t="n">
        <f aca="false">N27+N33+N40+N44</f>
        <v>2205.99025132</v>
      </c>
      <c r="O49" s="12" t="n">
        <f aca="false">O27+O33+O40+O44</f>
        <v>2454.00334167886</v>
      </c>
      <c r="P49" s="12" t="n">
        <f aca="false">P27+P33+P40+P44</f>
        <v>2693.32022449126</v>
      </c>
      <c r="Q49" s="12" t="n">
        <f aca="false">Q27+Q33+Q40+Q44</f>
        <v>2924.83394808034</v>
      </c>
      <c r="R49" s="12" t="n">
        <f aca="false">R27+R33+R40+R44</f>
        <v>3149.33415738506</v>
      </c>
      <c r="S49" s="12" t="n">
        <f aca="false">S27+S33+S40+S44</f>
        <v>3367.51940830587</v>
      </c>
      <c r="T49" s="12" t="n">
        <f aca="false">T27+T33+T40+T44</f>
        <v>3580.00800668054</v>
      </c>
      <c r="U49" s="12" t="n">
        <f aca="false">U27+U33+U40+U44</f>
        <v>3787.34754887548</v>
      </c>
      <c r="V49" s="12" t="n">
        <f aca="false">V27+V33+V40+V44</f>
        <v>3990.02331974164</v>
      </c>
      <c r="W49" s="12" t="n">
        <f aca="false">W27+W33+W40+W44</f>
        <v>4188.46568499511</v>
      </c>
      <c r="X49" s="12" t="n">
        <f aca="false">X27+X33+X40+X44</f>
        <v>4383.05659863712</v>
      </c>
      <c r="Y49" s="12" t="n">
        <f aca="false">Y27+Y33+Y40+Y44</f>
        <v>4574.13533155558</v>
      </c>
      <c r="Z49" s="12" t="n">
        <f aca="false">Z27+Z33+Z40+Z44</f>
        <v>5536.2495464605</v>
      </c>
      <c r="AA49" s="12" t="n">
        <f aca="false">AA27+AA33+AA40+AA44</f>
        <v>5852.39403944764</v>
      </c>
      <c r="AB49" s="12" t="n">
        <f aca="false">AB27+AB33+AB40+AB44</f>
        <v>6158.30618370116</v>
      </c>
      <c r="AC49" s="12" t="n">
        <f aca="false">AC27+AC33+AC40+AC44</f>
        <v>6455.00854880845</v>
      </c>
      <c r="AD49" s="12" t="n">
        <f aca="false">AD27+AD33+AD40+AD44</f>
        <v>6743.40612881298</v>
      </c>
      <c r="AE49" s="12" t="n">
        <f aca="false">AE27+AE33+AE40+AE44</f>
        <v>7024.30032295931</v>
      </c>
      <c r="AF49" s="12" t="n">
        <f aca="false">AF27+AF33+AF40+AF44</f>
        <v>7298.40124195688</v>
      </c>
      <c r="AG49" s="12" t="n">
        <f aca="false">AG27+AG33+AG40+AG44</f>
        <v>7566.33854061981</v>
      </c>
      <c r="AH49" s="12" t="n">
        <f aca="false">AH27+AH33+AH40+AH44</f>
        <v>7828.67095363963</v>
      </c>
      <c r="AI49" s="12" t="n">
        <f aca="false">AI27+AI33+AI40+AI44</f>
        <v>8085.89469003861</v>
      </c>
      <c r="AJ49" s="12" t="n">
        <f aca="false">AJ27+AJ33+AJ40+AJ44</f>
        <v>8338.4508231877</v>
      </c>
      <c r="AK49" s="12" t="n">
        <f aca="false">AK27+AK33+AK40+AK44</f>
        <v>8586.73179684895</v>
      </c>
      <c r="AL49" s="12" t="n">
        <f aca="false">AL27+AL33+AL40+AL44</f>
        <v>9741.89911906061</v>
      </c>
      <c r="AM49" s="12" t="n">
        <f aca="false">AM27+AM33+AM40+AM44</f>
        <v>10137.7289525371</v>
      </c>
      <c r="AN49" s="12" t="n">
        <f aca="false">AN27+AN33+AN40+AN44</f>
        <v>10518.5282710288</v>
      </c>
      <c r="AO49" s="12" t="n">
        <f aca="false">AO27+AO33+AO40+AO44</f>
        <v>10885.8071222081</v>
      </c>
      <c r="AP49" s="12" t="n">
        <f aca="false">AP27+AP33+AP40+AP44</f>
        <v>11240.9016883798</v>
      </c>
      <c r="AQ49" s="12" t="n">
        <f aca="false">AQ27+AQ33+AQ40+AQ44</f>
        <v>11584.9949668165</v>
      </c>
      <c r="AR49" s="12" t="n">
        <f aca="false">AR27+AR33+AR40+AR44</f>
        <v>11919.1349730412</v>
      </c>
      <c r="AS49" s="12" t="n">
        <f aca="false">AS27+AS33+AS40+AS44</f>
        <v>12244.2507641894</v>
      </c>
      <c r="AT49" s="12" t="n">
        <f aca="false">AT27+AT33+AT40+AT44</f>
        <v>12561.1665439285</v>
      </c>
      <c r="AU49" s="12" t="n">
        <f aca="false">AU27+AU33+AU40+AU44</f>
        <v>12870.6140790393</v>
      </c>
      <c r="AV49" s="12" t="n">
        <f aca="false">AV27+AV33+AV40+AV44</f>
        <v>13173.2436301538</v>
      </c>
      <c r="AW49" s="12" t="n">
        <f aca="false">AW27+AW33+AW40+AW44</f>
        <v>13469.633574846</v>
      </c>
      <c r="AX49" s="12" t="n">
        <f aca="false">AX27+AX33+AX40+AX44</f>
        <v>14913.5146918598</v>
      </c>
      <c r="AY49" s="12" t="n">
        <f aca="false">AY27+AY33+AY40+AY44</f>
        <v>15360.8987957546</v>
      </c>
      <c r="AZ49" s="12" t="n">
        <f aca="false">AZ27+AZ33+AZ40+AZ44</f>
        <v>15792.3277938424</v>
      </c>
      <c r="BA49" s="12" t="n">
        <f aca="false">BA27+BA33+BA40+BA44</f>
        <v>16209.3613241536</v>
      </c>
      <c r="BB49" s="12" t="n">
        <f aca="false">BB27+BB33+BB40+BB44</f>
        <v>16613.3807425215</v>
      </c>
      <c r="BC49" s="12" t="n">
        <f aca="false">BC27+BC33+BC40+BC44</f>
        <v>17005.6102945869</v>
      </c>
      <c r="BD49" s="12" t="n">
        <f aca="false">BD27+BD33+BD40+BD44</f>
        <v>17387.1357527086</v>
      </c>
      <c r="BE49" s="12" t="n">
        <f aca="false">BE27+BE33+BE40+BE44</f>
        <v>17758.9208218522</v>
      </c>
      <c r="BF49" s="12" t="n">
        <f aca="false">BF27+BF33+BF40+BF44</f>
        <v>18121.8215820452</v>
      </c>
      <c r="BG49" s="12" t="n">
        <f aca="false">BG27+BG33+BG40+BG44</f>
        <v>18476.5992028779</v>
      </c>
      <c r="BH49" s="12" t="n">
        <f aca="false">BH27+BH33+BH40+BH44</f>
        <v>18823.9311372772</v>
      </c>
      <c r="BI49" s="12" t="n">
        <f aca="false">BI27+BI33+BI40+BI44</f>
        <v>19164.4209769132</v>
      </c>
    </row>
    <row r="50" customFormat="false" ht="15" hidden="false" customHeight="true" outlineLevel="0" collapsed="false">
      <c r="A50" s="11" t="s">
        <v>430</v>
      </c>
      <c r="B50" s="12" t="n">
        <f aca="false">B49*INPUT!$B$19+B32*INPUT!$B$17</f>
        <v>23198.2211538462</v>
      </c>
      <c r="C50" s="12" t="n">
        <f aca="false">C49*INPUT!$B$19+C32*INPUT!$B$17</f>
        <v>28213.7423076923</v>
      </c>
      <c r="D50" s="12" t="n">
        <f aca="false">D49*INPUT!$B$19+D32*INPUT!$B$17</f>
        <v>32998.949</v>
      </c>
      <c r="E50" s="12" t="n">
        <f aca="false">E49*INPUT!$B$19+E32*INPUT!$B$17</f>
        <v>37578.5558892308</v>
      </c>
      <c r="F50" s="12" t="n">
        <f aca="false">F49*INPUT!$B$19+F32*INPUT!$B$17</f>
        <v>41974.3849517539</v>
      </c>
      <c r="G50" s="12" t="n">
        <f aca="false">G49*INPUT!$B$19+G32*INPUT!$B$17</f>
        <v>46205.7107767742</v>
      </c>
      <c r="H50" s="12" t="n">
        <f aca="false">H49*INPUT!$B$19+H32*INPUT!$B$17</f>
        <v>50289.564471542</v>
      </c>
      <c r="I50" s="12" t="n">
        <f aca="false">I49*INPUT!$B$19+I32*INPUT!$B$17</f>
        <v>54241.001142469</v>
      </c>
      <c r="J50" s="12" t="n">
        <f aca="false">J49*INPUT!$B$19+J32*INPUT!$B$17</f>
        <v>58073.3353219277</v>
      </c>
      <c r="K50" s="12" t="n">
        <f aca="false">K49*INPUT!$B$19+K32*INPUT!$B$17</f>
        <v>61798.3481861683</v>
      </c>
      <c r="L50" s="12" t="n">
        <f aca="false">L49*INPUT!$B$19+L32*INPUT!$B$17</f>
        <v>65426.4699483589</v>
      </c>
      <c r="M50" s="12" t="n">
        <f aca="false">M49*INPUT!$B$19+M32*INPUT!$B$17</f>
        <v>68966.9404047042</v>
      </c>
      <c r="N50" s="12" t="n">
        <f aca="false">N49*INPUT!$B$19+N32*INPUT!$B$17</f>
        <v>89701.7350527999</v>
      </c>
      <c r="O50" s="12" t="n">
        <f aca="false">O49*INPUT!$B$19+O32*INPUT!$B$17</f>
        <v>99771.8836671545</v>
      </c>
      <c r="P50" s="12" t="n">
        <f aca="false">P49*INPUT!$B$19+P32*INPUT!$B$17</f>
        <v>109494.18397965</v>
      </c>
      <c r="Q50" s="12" t="n">
        <f aca="false">Q49*INPUT!$B$19+Q32*INPUT!$B$17</f>
        <v>118904.357923214</v>
      </c>
      <c r="R50" s="12" t="n">
        <f aca="false">R49*INPUT!$B$19+R32*INPUT!$B$17</f>
        <v>128033.991295402</v>
      </c>
      <c r="S50" s="12" t="n">
        <f aca="false">S49*INPUT!$B$19+S32*INPUT!$B$17</f>
        <v>136911.026332235</v>
      </c>
      <c r="T50" s="12" t="n">
        <f aca="false">T49*INPUT!$B$19+T32*INPUT!$B$17</f>
        <v>145560.195267222</v>
      </c>
      <c r="U50" s="12" t="n">
        <f aca="false">U49*INPUT!$B$19+U32*INPUT!$B$17</f>
        <v>154003.401955019</v>
      </c>
      <c r="V50" s="12" t="n">
        <f aca="false">V49*INPUT!$B$19+V32*INPUT!$B$17</f>
        <v>162260.057789666</v>
      </c>
      <c r="W50" s="12" t="n">
        <f aca="false">W49*INPUT!$B$19+W32*INPUT!$B$17</f>
        <v>170347.377399804</v>
      </c>
      <c r="X50" s="12" t="n">
        <f aca="false">X49*INPUT!$B$19+X32*INPUT!$B$17</f>
        <v>178280.638945485</v>
      </c>
      <c r="Y50" s="12" t="n">
        <f aca="false">Y49*INPUT!$B$19+Y32*INPUT!$B$17</f>
        <v>186073.413262223</v>
      </c>
      <c r="Z50" s="12" t="n">
        <f aca="false">Z49*INPUT!$B$19+Z32*INPUT!$B$17</f>
        <v>224719.85685842</v>
      </c>
      <c r="AA50" s="12" t="n">
        <f aca="false">AA49*INPUT!$B$19+AA32*INPUT!$B$17</f>
        <v>237527.511577906</v>
      </c>
      <c r="AB50" s="12" t="n">
        <f aca="false">AB49*INPUT!$B$19+AB32*INPUT!$B$17</f>
        <v>249925.872348046</v>
      </c>
      <c r="AC50" s="12" t="n">
        <f aca="false">AC49*INPUT!$B$19+AC32*INPUT!$B$17</f>
        <v>261955.841952338</v>
      </c>
      <c r="AD50" s="12" t="n">
        <f aca="false">AD49*INPUT!$B$19+AD32*INPUT!$B$17</f>
        <v>273653.620152519</v>
      </c>
      <c r="AE50" s="12" t="n">
        <f aca="false">AE49*INPUT!$B$19+AE32*INPUT!$B$17</f>
        <v>285051.262918373</v>
      </c>
      <c r="AF50" s="12" t="n">
        <f aca="false">AF49*INPUT!$B$19+AF32*INPUT!$B$17</f>
        <v>296177.174678275</v>
      </c>
      <c r="AG50" s="12" t="n">
        <f aca="false">AG49*INPUT!$B$19+AG32*INPUT!$B$17</f>
        <v>307056.541624792</v>
      </c>
      <c r="AH50" s="12" t="n">
        <f aca="false">AH49*INPUT!$B$19+AH32*INPUT!$B$17</f>
        <v>317711.713145585</v>
      </c>
      <c r="AI50" s="12" t="n">
        <f aca="false">AI49*INPUT!$B$19+AI32*INPUT!$B$17</f>
        <v>328162.537601544</v>
      </c>
      <c r="AJ50" s="12" t="n">
        <f aca="false">AJ49*INPUT!$B$19+AJ32*INPUT!$B$17</f>
        <v>338426.657927508</v>
      </c>
      <c r="AK50" s="12" t="n">
        <f aca="false">AK49*INPUT!$B$19+AK32*INPUT!$B$17</f>
        <v>348519.771873958</v>
      </c>
      <c r="AL50" s="12" t="n">
        <f aca="false">AL49*INPUT!$B$19+AL32*INPUT!$B$17</f>
        <v>394874.339762425</v>
      </c>
      <c r="AM50" s="12" t="n">
        <f aca="false">AM49*INPUT!$B$19+AM32*INPUT!$B$17</f>
        <v>410855.408101484</v>
      </c>
      <c r="AN50" s="12" t="n">
        <f aca="false">AN49*INPUT!$B$19+AN32*INPUT!$B$17</f>
        <v>426235.255841153</v>
      </c>
      <c r="AO50" s="12" t="n">
        <f aca="false">AO49*INPUT!$B$19+AO32*INPUT!$B$17</f>
        <v>441074.284888325</v>
      </c>
      <c r="AP50" s="12" t="n">
        <f aca="false">AP49*INPUT!$B$19+AP32*INPUT!$B$17</f>
        <v>455425.942535193</v>
      </c>
      <c r="AQ50" s="12" t="n">
        <f aca="false">AQ49*INPUT!$B$19+AQ32*INPUT!$B$17</f>
        <v>469337.548672661</v>
      </c>
      <c r="AR50" s="12" t="n">
        <f aca="false">AR49*INPUT!$B$19+AR32*INPUT!$B$17</f>
        <v>482851.023921649</v>
      </c>
      <c r="AS50" s="12" t="n">
        <f aca="false">AS49*INPUT!$B$19+AS32*INPUT!$B$17</f>
        <v>496003.530567577</v>
      </c>
      <c r="AT50" s="12" t="n">
        <f aca="false">AT49*INPUT!$B$19+AT32*INPUT!$B$17</f>
        <v>508828.036757139</v>
      </c>
      <c r="AU50" s="12" t="n">
        <f aca="false">AU49*INPUT!$B$19+AU32*INPUT!$B$17</f>
        <v>521353.813161573</v>
      </c>
      <c r="AV50" s="12" t="n">
        <f aca="false">AV49*INPUT!$B$19+AV32*INPUT!$B$17</f>
        <v>533606.870206151</v>
      </c>
      <c r="AW50" s="12" t="n">
        <f aca="false">AW49*INPUT!$B$19+AW32*INPUT!$B$17</f>
        <v>545610.342993841</v>
      </c>
      <c r="AX50" s="12" t="n">
        <f aca="false">AX49*INPUT!$B$19+AX32*INPUT!$B$17</f>
        <v>603526.58767439</v>
      </c>
      <c r="AY50" s="12" t="n">
        <f aca="false">AY49*INPUT!$B$19+AY32*INPUT!$B$17</f>
        <v>621582.951830184</v>
      </c>
      <c r="AZ50" s="12" t="n">
        <f aca="false">AZ49*INPUT!$B$19+AZ32*INPUT!$B$17</f>
        <v>639001.111753698</v>
      </c>
      <c r="BA50" s="12" t="n">
        <f aca="false">BA49*INPUT!$B$19+BA32*INPUT!$B$17</f>
        <v>655843.452966145</v>
      </c>
      <c r="BB50" s="12" t="n">
        <f aca="false">BB49*INPUT!$B$19+BB32*INPUT!$B$17</f>
        <v>672165.229700859</v>
      </c>
      <c r="BC50" s="12" t="n">
        <f aca="false">BC49*INPUT!$B$19+BC32*INPUT!$B$17</f>
        <v>688015.411783475</v>
      </c>
      <c r="BD50" s="12" t="n">
        <f aca="false">BD49*INPUT!$B$19+BD32*INPUT!$B$17</f>
        <v>703437.430108342</v>
      </c>
      <c r="BE50" s="12" t="n">
        <f aca="false">BE49*INPUT!$B$19+BE32*INPUT!$B$17</f>
        <v>718469.832874087</v>
      </c>
      <c r="BF50" s="12" t="n">
        <f aca="false">BF49*INPUT!$B$19+BF32*INPUT!$B$17</f>
        <v>733146.863281806</v>
      </c>
      <c r="BG50" s="12" t="n">
        <f aca="false">BG49*INPUT!$B$19+BG32*INPUT!$B$17</f>
        <v>747498.968115118</v>
      </c>
      <c r="BH50" s="12" t="n">
        <f aca="false">BH49*INPUT!$B$19+BH32*INPUT!$B$17</f>
        <v>761553.245491087</v>
      </c>
      <c r="BI50" s="12" t="n">
        <f aca="false">BI49*INPUT!$B$19+BI32*INPUT!$B$17</f>
        <v>775333.839076529</v>
      </c>
    </row>
    <row r="51" customFormat="false" ht="15" hidden="false" customHeight="true" outlineLevel="0" collapsed="false">
      <c r="A51" s="11" t="s">
        <v>71</v>
      </c>
      <c r="B51" s="12" t="n">
        <f aca="false">(B27+B44)*B18</f>
        <v>2000</v>
      </c>
      <c r="C51" s="12" t="n">
        <f aca="false">(C27+C44)*C18</f>
        <v>3037.1225</v>
      </c>
      <c r="D51" s="12" t="n">
        <f aca="false">(D27+D44)*D18</f>
        <v>3999.3928</v>
      </c>
      <c r="E51" s="12" t="n">
        <f aca="false">(E27+E44)*E18</f>
        <v>4894.843164</v>
      </c>
      <c r="F51" s="12" t="n">
        <f aca="false">(F27+F44)*F18</f>
        <v>5730.56573432</v>
      </c>
      <c r="G51" s="12" t="n">
        <f aca="false">(G27+G44)*G18</f>
        <v>6512.8247524516</v>
      </c>
      <c r="H51" s="12" t="n">
        <f aca="false">(H27+H44)*H18</f>
        <v>7247.15532825116</v>
      </c>
      <c r="I51" s="12" t="n">
        <f aca="false">(I27+I44)*I18</f>
        <v>7938.45037130243</v>
      </c>
      <c r="J51" s="12" t="n">
        <f aca="false">(J27+J44)*J18</f>
        <v>8591.03710462651</v>
      </c>
      <c r="K51" s="12" t="n">
        <f aca="false">(K27+K44)*K18</f>
        <v>9208.74441050469</v>
      </c>
      <c r="L51" s="12" t="n">
        <f aca="false">(L27+L44)*L18</f>
        <v>9794.96210821665</v>
      </c>
      <c r="M51" s="12" t="n">
        <f aca="false">(M27+M44)*M18</f>
        <v>10352.6931315289</v>
      </c>
      <c r="N51" s="12" t="n">
        <f aca="false">(N27+N44)*N18</f>
        <v>11966.5962235133</v>
      </c>
      <c r="O51" s="12" t="n">
        <f aca="false">(O27+O44)*O18</f>
        <v>13548.9550959736</v>
      </c>
      <c r="P51" s="12" t="n">
        <f aca="false">(P27+P44)*P18</f>
        <v>15031.3075816494</v>
      </c>
      <c r="Q51" s="12" t="n">
        <f aca="false">(Q27+Q44)*Q18</f>
        <v>16423.9237362572</v>
      </c>
      <c r="R51" s="12" t="n">
        <f aca="false">(R27+R44)*R18</f>
        <v>17735.8844765948</v>
      </c>
      <c r="S51" s="12" t="n">
        <f aca="false">(S27+S44)*S18</f>
        <v>18975.2231955175</v>
      </c>
      <c r="T51" s="12" t="n">
        <f aca="false">(T27+T44)*T18</f>
        <v>20149.0504101595</v>
      </c>
      <c r="U51" s="12" t="n">
        <f aca="false">(U27+U44)*U18</f>
        <v>21263.6634787347</v>
      </c>
      <c r="V51" s="12" t="n">
        <f aca="false">(V27+V44)*V18</f>
        <v>22324.6431770289</v>
      </c>
      <c r="W51" s="12" t="n">
        <f aca="false">(W27+W44)*W18</f>
        <v>23336.9387107771</v>
      </c>
      <c r="X51" s="12" t="n">
        <f aca="false">(X27+X44)*X18</f>
        <v>24304.9425509935</v>
      </c>
      <c r="Y51" s="12" t="n">
        <f aca="false">(Y27+Y44)*Y18</f>
        <v>25232.5563128891</v>
      </c>
      <c r="Z51" s="12" t="n">
        <f aca="false">(Z27+Z44)*Z18</f>
        <v>25934.9952378353</v>
      </c>
      <c r="AA51" s="12" t="n">
        <f aca="false">(AA27+AA44)*AA18</f>
        <v>27718.8874142003</v>
      </c>
      <c r="AB51" s="12" t="n">
        <f aca="false">(AB27+AB44)*AB18</f>
        <v>29395.3399288621</v>
      </c>
      <c r="AC51" s="12" t="n">
        <f aca="false">(AC27+AC44)*AC18</f>
        <v>30975.0897624888</v>
      </c>
      <c r="AD51" s="12" t="n">
        <f aca="false">(AD27+AD44)*AD18</f>
        <v>32467.6393525363</v>
      </c>
      <c r="AE51" s="12" t="n">
        <f aca="false">(AE27+AE44)*AE18</f>
        <v>33881.4033910728</v>
      </c>
      <c r="AF51" s="12" t="n">
        <f aca="false">(AF27+AF44)*AF18</f>
        <v>35223.8380405472</v>
      </c>
      <c r="AG51" s="12" t="n">
        <f aca="false">(AG27+AG44)*AG18</f>
        <v>36501.554676508</v>
      </c>
      <c r="AH51" s="12" t="n">
        <f aca="false">(AH27+AH44)*AH18</f>
        <v>37720.4200132161</v>
      </c>
      <c r="AI51" s="12" t="n">
        <f aca="false">(AI27+AI44)*AI18</f>
        <v>38885.6442454054</v>
      </c>
      <c r="AJ51" s="12" t="n">
        <f aca="false">(AJ27+AJ44)*AJ18</f>
        <v>40001.8586434709</v>
      </c>
      <c r="AK51" s="12" t="n">
        <f aca="false">(AK27+AK44)*AK18</f>
        <v>41073.183866914</v>
      </c>
      <c r="AL51" s="12" t="n">
        <f aca="false">(AL27+AL44)*AL18</f>
        <v>45244.3157501364</v>
      </c>
      <c r="AM51" s="12" t="n">
        <f aca="false">(AM27+AM44)*AM18</f>
        <v>47742.4040016396</v>
      </c>
      <c r="AN51" s="12" t="n">
        <f aca="false">(AN27+AN44)*AN18</f>
        <v>50082.6718458026</v>
      </c>
      <c r="AO51" s="12" t="n">
        <f aca="false">(AO27+AO44)*AO18</f>
        <v>52280.9747831852</v>
      </c>
      <c r="AP51" s="12" t="n">
        <f aca="false">(AP27+AP44)*AP18</f>
        <v>54351.3427279882</v>
      </c>
      <c r="AQ51" s="12" t="n">
        <f aca="false">(AQ27+AQ44)*AQ18</f>
        <v>56306.1971515734</v>
      </c>
      <c r="AR51" s="12" t="n">
        <f aca="false">(AR27+AR44)*AR18</f>
        <v>58156.542216933</v>
      </c>
      <c r="AS51" s="12" t="n">
        <f aca="false">(AS27+AS44)*AS18</f>
        <v>59912.1330239889</v>
      </c>
      <c r="AT51" s="12" t="n">
        <f aca="false">(AT27+AT44)*AT18</f>
        <v>61581.6237112491</v>
      </c>
      <c r="AU51" s="12" t="n">
        <f aca="false">(AU27+AU44)*AU18</f>
        <v>63172.6978299128</v>
      </c>
      <c r="AV51" s="12" t="n">
        <f aca="false">(AV27+AV44)*AV18</f>
        <v>64692.1831166147</v>
      </c>
      <c r="AW51" s="12" t="n">
        <f aca="false">(AW27+AW44)*AW18</f>
        <v>66146.1525358834</v>
      </c>
      <c r="AX51" s="12" t="n">
        <f aca="false">(AX27+AX44)*AX18</f>
        <v>70596.9042645274</v>
      </c>
      <c r="AY51" s="12" t="n">
        <f aca="false">(AY27+AY44)*AY18</f>
        <v>73404.4373554233</v>
      </c>
      <c r="AZ51" s="12" t="n">
        <f aca="false">(AZ27+AZ44)*AZ18</f>
        <v>76044.4418353456</v>
      </c>
      <c r="BA51" s="12" t="n">
        <f aca="false">(BA27+BA44)*BA18</f>
        <v>78533.293903613</v>
      </c>
      <c r="BB51" s="12" t="n">
        <f aca="false">(BB27+BB44)*BB18</f>
        <v>80885.4977964755</v>
      </c>
      <c r="BC51" s="12" t="n">
        <f aca="false">(BC27+BC44)*BC18</f>
        <v>83113.9080931622</v>
      </c>
      <c r="BD51" s="12" t="n">
        <f aca="false">(BD27+BD44)*BD18</f>
        <v>85229.9254034398</v>
      </c>
      <c r="BE51" s="12" t="n">
        <f aca="false">(BE27+BE44)*BE18</f>
        <v>87243.6686294477</v>
      </c>
      <c r="BF51" s="12" t="n">
        <f aca="false">(BF27+BF44)*BF18</f>
        <v>89164.1266114742</v>
      </c>
      <c r="BG51" s="12" t="n">
        <f aca="false">(BG27+BG44)*BG18</f>
        <v>90999.2916302184</v>
      </c>
      <c r="BH51" s="12" t="n">
        <f aca="false">(BH27+BH44)*BH18</f>
        <v>92756.2769414104</v>
      </c>
      <c r="BI51" s="12" t="n">
        <f aca="false">(BI27+BI44)*BI18</f>
        <v>94441.4202575888</v>
      </c>
    </row>
    <row r="52" customFormat="false" ht="15" hidden="false" customHeight="true" outlineLevel="0" collapsed="false">
      <c r="A52" s="11" t="s">
        <v>72</v>
      </c>
      <c r="B52" s="12" t="n">
        <f aca="false">(B33+B40)*INPUT!$B$22</f>
        <v>662</v>
      </c>
      <c r="C52" s="12" t="n">
        <f aca="false">(C33+C40)*INPUT!$B$22</f>
        <v>732</v>
      </c>
      <c r="D52" s="12" t="n">
        <f aca="false">(D33+D40)*INPUT!$B$22</f>
        <v>802</v>
      </c>
      <c r="E52" s="12" t="n">
        <f aca="false">(E33+E40)*INPUT!$B$22</f>
        <v>872</v>
      </c>
      <c r="F52" s="12" t="n">
        <f aca="false">(F33+F40)*INPUT!$B$22</f>
        <v>942</v>
      </c>
      <c r="G52" s="12" t="n">
        <f aca="false">(G33+G40)*INPUT!$B$22</f>
        <v>1012</v>
      </c>
      <c r="H52" s="12" t="n">
        <f aca="false">(H33+H40)*INPUT!$B$22</f>
        <v>1082</v>
      </c>
      <c r="I52" s="12" t="n">
        <f aca="false">(I33+I40)*INPUT!$B$22</f>
        <v>1152</v>
      </c>
      <c r="J52" s="12" t="n">
        <f aca="false">(J33+J40)*INPUT!$B$22</f>
        <v>1222</v>
      </c>
      <c r="K52" s="12" t="n">
        <f aca="false">(K33+K40)*INPUT!$B$22</f>
        <v>1292</v>
      </c>
      <c r="L52" s="12" t="n">
        <f aca="false">(L33+L40)*INPUT!$B$22</f>
        <v>1362</v>
      </c>
      <c r="M52" s="12" t="n">
        <f aca="false">(M33+M40)*INPUT!$B$22</f>
        <v>1432</v>
      </c>
      <c r="N52" s="12" t="n">
        <f aca="false">(N33+N40)*INPUT!$B$22</f>
        <v>1864.66666666667</v>
      </c>
      <c r="O52" s="12" t="n">
        <f aca="false">(O33+O40)*INPUT!$B$22</f>
        <v>2041.33333333333</v>
      </c>
      <c r="P52" s="12" t="n">
        <f aca="false">(P33+P40)*INPUT!$B$22</f>
        <v>2218</v>
      </c>
      <c r="Q52" s="12" t="n">
        <f aca="false">(Q33+Q40)*INPUT!$B$22</f>
        <v>2394.66666666667</v>
      </c>
      <c r="R52" s="12" t="n">
        <f aca="false">(R33+R40)*INPUT!$B$22</f>
        <v>2571.33333333333</v>
      </c>
      <c r="S52" s="12" t="n">
        <f aca="false">(S33+S40)*INPUT!$B$22</f>
        <v>2748</v>
      </c>
      <c r="T52" s="12" t="n">
        <f aca="false">(T33+T40)*INPUT!$B$22</f>
        <v>2924.66666666667</v>
      </c>
      <c r="U52" s="12" t="n">
        <f aca="false">(U33+U40)*INPUT!$B$22</f>
        <v>3101.33333333333</v>
      </c>
      <c r="V52" s="12" t="n">
        <f aca="false">(V33+V40)*INPUT!$B$22</f>
        <v>3278</v>
      </c>
      <c r="W52" s="12" t="n">
        <f aca="false">(W33+W40)*INPUT!$B$22</f>
        <v>3454.66666666667</v>
      </c>
      <c r="X52" s="12" t="n">
        <f aca="false">(X33+X40)*INPUT!$B$22</f>
        <v>3631.33333333333</v>
      </c>
      <c r="Y52" s="12" t="n">
        <f aca="false">(Y33+Y40)*INPUT!$B$22</f>
        <v>3808</v>
      </c>
      <c r="Z52" s="12" t="n">
        <f aca="false">(Z33+Z40)*INPUT!$B$22</f>
        <v>4906</v>
      </c>
      <c r="AA52" s="12" t="n">
        <f aca="false">(AA33+AA40)*INPUT!$B$22</f>
        <v>5140</v>
      </c>
      <c r="AB52" s="12" t="n">
        <f aca="false">(AB33+AB40)*INPUT!$B$22</f>
        <v>5374</v>
      </c>
      <c r="AC52" s="12" t="n">
        <f aca="false">(AC33+AC40)*INPUT!$B$22</f>
        <v>5608</v>
      </c>
      <c r="AD52" s="12" t="n">
        <f aca="false">(AD33+AD40)*INPUT!$B$22</f>
        <v>5842</v>
      </c>
      <c r="AE52" s="12" t="n">
        <f aca="false">(AE33+AE40)*INPUT!$B$22</f>
        <v>6076</v>
      </c>
      <c r="AF52" s="12" t="n">
        <f aca="false">(AF33+AF40)*INPUT!$B$22</f>
        <v>6310</v>
      </c>
      <c r="AG52" s="12" t="n">
        <f aca="false">(AG33+AG40)*INPUT!$B$22</f>
        <v>6544</v>
      </c>
      <c r="AH52" s="12" t="n">
        <f aca="false">(AH33+AH40)*INPUT!$B$22</f>
        <v>6778</v>
      </c>
      <c r="AI52" s="12" t="n">
        <f aca="false">(AI33+AI40)*INPUT!$B$22</f>
        <v>7012</v>
      </c>
      <c r="AJ52" s="12" t="n">
        <f aca="false">(AJ33+AJ40)*INPUT!$B$22</f>
        <v>7246</v>
      </c>
      <c r="AK52" s="12" t="n">
        <f aca="false">(AK33+AK40)*INPUT!$B$22</f>
        <v>7480</v>
      </c>
      <c r="AL52" s="12" t="n">
        <f aca="false">(AL33+AL40)*INPUT!$B$22</f>
        <v>8692.66666666667</v>
      </c>
      <c r="AM52" s="12" t="n">
        <f aca="false">(AM33+AM40)*INPUT!$B$22</f>
        <v>8945.33333333333</v>
      </c>
      <c r="AN52" s="12" t="n">
        <f aca="false">(AN33+AN40)*INPUT!$B$22</f>
        <v>9198</v>
      </c>
      <c r="AO52" s="12" t="n">
        <f aca="false">(AO33+AO40)*INPUT!$B$22</f>
        <v>9450.66666666667</v>
      </c>
      <c r="AP52" s="12" t="n">
        <f aca="false">(AP33+AP40)*INPUT!$B$22</f>
        <v>9703.33333333333</v>
      </c>
      <c r="AQ52" s="12" t="n">
        <f aca="false">(AQ33+AQ40)*INPUT!$B$22</f>
        <v>9956</v>
      </c>
      <c r="AR52" s="12" t="n">
        <f aca="false">(AR33+AR40)*INPUT!$B$22</f>
        <v>10208.6666666667</v>
      </c>
      <c r="AS52" s="12" t="n">
        <f aca="false">(AS33+AS40)*INPUT!$B$22</f>
        <v>10461.3333333333</v>
      </c>
      <c r="AT52" s="12" t="n">
        <f aca="false">(AT33+AT40)*INPUT!$B$22</f>
        <v>10714</v>
      </c>
      <c r="AU52" s="12" t="n">
        <f aca="false">(AU33+AU40)*INPUT!$B$22</f>
        <v>10966.6666666667</v>
      </c>
      <c r="AV52" s="12" t="n">
        <f aca="false">(AV33+AV40)*INPUT!$B$22</f>
        <v>11219.3333333333</v>
      </c>
      <c r="AW52" s="12" t="n">
        <f aca="false">(AW33+AW40)*INPUT!$B$22</f>
        <v>11472</v>
      </c>
      <c r="AX52" s="12" t="n">
        <f aca="false">(AX33+AX40)*INPUT!$B$22</f>
        <v>13104</v>
      </c>
      <c r="AY52" s="12" t="n">
        <f aca="false">(AY33+AY40)*INPUT!$B$22</f>
        <v>13392</v>
      </c>
      <c r="AZ52" s="12" t="n">
        <f aca="false">(AZ33+AZ40)*INPUT!$B$22</f>
        <v>13680</v>
      </c>
      <c r="BA52" s="12" t="n">
        <f aca="false">(BA33+BA40)*INPUT!$B$22</f>
        <v>13968</v>
      </c>
      <c r="BB52" s="12" t="n">
        <f aca="false">(BB33+BB40)*INPUT!$B$22</f>
        <v>14256</v>
      </c>
      <c r="BC52" s="12" t="n">
        <f aca="false">(BC33+BC40)*INPUT!$B$22</f>
        <v>14544</v>
      </c>
      <c r="BD52" s="12" t="n">
        <f aca="false">(BD33+BD40)*INPUT!$B$22</f>
        <v>14832</v>
      </c>
      <c r="BE52" s="12" t="n">
        <f aca="false">(BE33+BE40)*INPUT!$B$22</f>
        <v>15120</v>
      </c>
      <c r="BF52" s="12" t="n">
        <f aca="false">(BF33+BF40)*INPUT!$B$22</f>
        <v>15408</v>
      </c>
      <c r="BG52" s="12" t="n">
        <f aca="false">(BG33+BG40)*INPUT!$B$22</f>
        <v>15696</v>
      </c>
      <c r="BH52" s="12" t="n">
        <f aca="false">(BH33+BH40)*INPUT!$B$22</f>
        <v>15984</v>
      </c>
      <c r="BI52" s="12" t="n">
        <f aca="false">(BI33+BI40)*INPUT!$B$22</f>
        <v>16272</v>
      </c>
    </row>
    <row r="53" customFormat="false" ht="15" hidden="false" customHeight="true" outlineLevel="0" collapsed="false">
      <c r="A53" s="7" t="s">
        <v>431</v>
      </c>
      <c r="B53" s="8"/>
      <c r="C53" s="8"/>
      <c r="D53" s="8"/>
      <c r="E53" s="8"/>
      <c r="F53" s="8"/>
      <c r="G53" s="8"/>
    </row>
    <row r="54" customFormat="false" ht="15" hidden="false" customHeight="true" outlineLevel="0" collapsed="false">
      <c r="A54" s="11" t="s">
        <v>432</v>
      </c>
      <c r="B54" s="12" t="n">
        <f aca="false">B35*INPUT!$B$40+B45*INPUT!$B$41</f>
        <v>1758.28977272727</v>
      </c>
      <c r="C54" s="12" t="n">
        <f aca="false">C35*INPUT!$B$40+C45*INPUT!$B$41</f>
        <v>2014.16522727273</v>
      </c>
      <c r="D54" s="12" t="n">
        <f aca="false">D35*INPUT!$B$40+D45*INPUT!$B$41</f>
        <v>2272.48699090909</v>
      </c>
      <c r="E54" s="12" t="n">
        <f aca="false">E35*INPUT!$B$40+E45*INPUT!$B$41</f>
        <v>2532.96150654545</v>
      </c>
      <c r="F54" s="12" t="n">
        <f aca="false">F35*INPUT!$B$40+F45*INPUT!$B$41</f>
        <v>2795.33044394182</v>
      </c>
      <c r="G54" s="12" t="n">
        <f aca="false">G35*INPUT!$B$40+G45*INPUT!$B$41</f>
        <v>3059.36647248698</v>
      </c>
      <c r="H54" s="12" t="n">
        <f aca="false">H35*INPUT!$B$40+H45*INPUT!$B$41</f>
        <v>3324.86954124309</v>
      </c>
      <c r="I54" s="12" t="n">
        <f aca="false">I35*INPUT!$B$40+I45*INPUT!$B$41</f>
        <v>3591.66360538483</v>
      </c>
      <c r="J54" s="12" t="n">
        <f aca="false">J35*INPUT!$B$40+J45*INPUT!$B$41</f>
        <v>3859.59374546592</v>
      </c>
      <c r="K54" s="12" t="n">
        <f aca="false">K35*INPUT!$B$40+K45*INPUT!$B$41</f>
        <v>4128.52363237365</v>
      </c>
      <c r="L54" s="12" t="n">
        <f aca="false">L35*INPUT!$B$40+L45*INPUT!$B$41</f>
        <v>4398.33329648881</v>
      </c>
      <c r="M54" s="12" t="n">
        <f aca="false">M35*INPUT!$B$40+M45*INPUT!$B$41</f>
        <v>4668.91716454652</v>
      </c>
      <c r="N54" s="12" t="n">
        <f aca="false">N35*INPUT!$B$40+N45*INPUT!$B$41</f>
        <v>2435.09824116457</v>
      </c>
      <c r="O54" s="12" t="n">
        <f aca="false">O35*INPUT!$B$40+O45*INPUT!$B$41</f>
        <v>2673.42858858846</v>
      </c>
      <c r="P54" s="12" t="n">
        <f aca="false">P35*INPUT!$B$40+P45*INPUT!$B$41</f>
        <v>2923.05029432148</v>
      </c>
      <c r="Q54" s="12" t="n">
        <f aca="false">Q35*INPUT!$B$40+Q45*INPUT!$B$41</f>
        <v>3182.60839536654</v>
      </c>
      <c r="R54" s="12" t="n">
        <f aca="false">R35*INPUT!$B$40+R45*INPUT!$B$41</f>
        <v>3450.91052428619</v>
      </c>
      <c r="S54" s="12" t="n">
        <f aca="false">S35*INPUT!$B$40+S45*INPUT!$B$41</f>
        <v>3726.90739773548</v>
      </c>
      <c r="T54" s="12" t="n">
        <f aca="false">T35*INPUT!$B$40+T45*INPUT!$B$41</f>
        <v>4009.67564637086</v>
      </c>
      <c r="U54" s="12" t="n">
        <f aca="false">U35*INPUT!$B$40+U45*INPUT!$B$41</f>
        <v>4298.40270517</v>
      </c>
      <c r="V54" s="12" t="n">
        <f aca="false">V35*INPUT!$B$40+V45*INPUT!$B$41</f>
        <v>4592.37351691323</v>
      </c>
      <c r="W54" s="12" t="n">
        <f aca="false">W35*INPUT!$B$40+W45*INPUT!$B$41</f>
        <v>4890.95883124728</v>
      </c>
      <c r="X54" s="12" t="n">
        <f aca="false">X35*INPUT!$B$40+X45*INPUT!$B$41</f>
        <v>5193.60490786124</v>
      </c>
      <c r="Y54" s="12" t="n">
        <f aca="false">Y35*INPUT!$B$40+Y45*INPUT!$B$41</f>
        <v>5499.82445528153</v>
      </c>
      <c r="Z54" s="12" t="n">
        <f aca="false">Z35*INPUT!$B$40+Z45*INPUT!$B$41</f>
        <v>5801.2954751932</v>
      </c>
      <c r="AA54" s="12" t="n">
        <f aca="false">AA35*INPUT!$B$40+AA45*INPUT!$B$41</f>
        <v>6107.52497271547</v>
      </c>
      <c r="AB54" s="12" t="n">
        <f aca="false">AB35*INPUT!$B$40+AB45*INPUT!$B$41</f>
        <v>6417.94193053507</v>
      </c>
      <c r="AC54" s="12" t="n">
        <f aca="false">AC35*INPUT!$B$40+AC45*INPUT!$B$41</f>
        <v>6732.04385341631</v>
      </c>
      <c r="AD54" s="12" t="n">
        <f aca="false">AD35*INPUT!$B$40+AD45*INPUT!$B$41</f>
        <v>7049.38854555181</v>
      </c>
      <c r="AE54" s="12" t="n">
        <f aca="false">AE35*INPUT!$B$40+AE45*INPUT!$B$41</f>
        <v>7369.58687463105</v>
      </c>
      <c r="AF54" s="12" t="n">
        <f aca="false">AF35*INPUT!$B$40+AF45*INPUT!$B$41</f>
        <v>7692.29640422078</v>
      </c>
      <c r="AG54" s="12" t="n">
        <f aca="false">AG35*INPUT!$B$40+AG45*INPUT!$B$41</f>
        <v>8017.21579025974</v>
      </c>
      <c r="AH54" s="12" t="n">
        <f aca="false">AH35*INPUT!$B$40+AH45*INPUT!$B$41</f>
        <v>8344.07984997403</v>
      </c>
      <c r="AI54" s="12" t="n">
        <f aca="false">AI35*INPUT!$B$40+AI45*INPUT!$B$41</f>
        <v>8672.6552225226</v>
      </c>
      <c r="AJ54" s="12" t="n">
        <f aca="false">AJ35*INPUT!$B$40+AJ45*INPUT!$B$41</f>
        <v>9002.73655036534</v>
      </c>
      <c r="AK54" s="12" t="n">
        <f aca="false">AK35*INPUT!$B$40+AK45*INPUT!$B$41</f>
        <v>9334.14311886695</v>
      </c>
      <c r="AL54" s="12" t="n">
        <f aca="false">AL35*INPUT!$B$40+AL45*INPUT!$B$41</f>
        <v>9649.12953551201</v>
      </c>
      <c r="AM54" s="12" t="n">
        <f aca="false">AM35*INPUT!$B$40+AM45*INPUT!$B$41</f>
        <v>9962.86658215966</v>
      </c>
      <c r="AN54" s="12" t="n">
        <f aca="false">AN35*INPUT!$B$40+AN45*INPUT!$B$41</f>
        <v>10275.5041832096</v>
      </c>
      <c r="AO54" s="12" t="n">
        <f aca="false">AO35*INPUT!$B$40+AO45*INPUT!$B$41</f>
        <v>10587.1742721335</v>
      </c>
      <c r="AP54" s="12" t="n">
        <f aca="false">AP35*INPUT!$B$40+AP45*INPUT!$B$41</f>
        <v>10897.9929503866</v>
      </c>
      <c r="AQ54" s="12" t="n">
        <f aca="false">AQ35*INPUT!$B$40+AQ45*INPUT!$B$41</f>
        <v>11208.0623872493</v>
      </c>
      <c r="AR54" s="12" t="n">
        <f aca="false">AR35*INPUT!$B$40+AR45*INPUT!$B$41</f>
        <v>11517.4724916885</v>
      </c>
      <c r="AS54" s="12" t="n">
        <f aca="false">AS35*INPUT!$B$40+AS45*INPUT!$B$41</f>
        <v>11826.3023835949</v>
      </c>
      <c r="AT54" s="12" t="n">
        <f aca="false">AT35*INPUT!$B$40+AT45*INPUT!$B$41</f>
        <v>12134.6216884726</v>
      </c>
      <c r="AU54" s="12" t="n">
        <f aca="false">AU35*INPUT!$B$40+AU45*INPUT!$B$41</f>
        <v>12442.491676765</v>
      </c>
      <c r="AV54" s="12" t="n">
        <f aca="false">AV35*INPUT!$B$40+AV45*INPUT!$B$41</f>
        <v>12749.9662664623</v>
      </c>
      <c r="AW54" s="12" t="n">
        <f aca="false">AW35*INPUT!$B$40+AW45*INPUT!$B$41</f>
        <v>13057.0929053959</v>
      </c>
      <c r="AX54" s="12" t="n">
        <f aca="false">AX35*INPUT!$B$40+AX45*INPUT!$B$41</f>
        <v>13368.7599385666</v>
      </c>
      <c r="AY54" s="12" t="n">
        <f aca="false">AY35*INPUT!$B$40+AY45*INPUT!$B$41</f>
        <v>13682.2909277568</v>
      </c>
      <c r="AZ54" s="12" t="n">
        <f aca="false">AZ35*INPUT!$B$40+AZ45*INPUT!$B$41</f>
        <v>13997.4621982442</v>
      </c>
      <c r="BA54" s="12" t="n">
        <f aca="false">BA35*INPUT!$B$40+BA45*INPUT!$B$41</f>
        <v>14314.076916273</v>
      </c>
      <c r="BB54" s="12" t="n">
        <f aca="false">BB35*INPUT!$B$40+BB45*INPUT!$B$41</f>
        <v>14631.9618681384</v>
      </c>
      <c r="BC54" s="12" t="n">
        <f aca="false">BC35*INPUT!$B$40+BC45*INPUT!$B$41</f>
        <v>14950.96462578</v>
      </c>
      <c r="BD54" s="12" t="n">
        <f aca="false">BD35*INPUT!$B$40+BD45*INPUT!$B$41</f>
        <v>15270.9510525046</v>
      </c>
      <c r="BE54" s="12" t="n">
        <f aca="false">BE35*INPUT!$B$40+BE45*INPUT!$B$41</f>
        <v>15591.8031080222</v>
      </c>
      <c r="BF54" s="12" t="n">
        <f aca="false">BF35*INPUT!$B$40+BF45*INPUT!$B$41</f>
        <v>15913.4169168777</v>
      </c>
      <c r="BG54" s="12" t="n">
        <f aca="false">BG35*INPUT!$B$40+BG45*INPUT!$B$41</f>
        <v>16235.7010686706</v>
      </c>
      <c r="BH54" s="12" t="n">
        <f aca="false">BH35*INPUT!$B$40+BH45*INPUT!$B$41</f>
        <v>16558.5751222483</v>
      </c>
      <c r="BI54" s="12" t="n">
        <f aca="false">BI35*INPUT!$B$40+BI45*INPUT!$B$41</f>
        <v>16881.9682893967</v>
      </c>
    </row>
    <row r="55" customFormat="false" ht="15" hidden="false" customHeight="true" outlineLevel="0" collapsed="false">
      <c r="A55" s="6" t="s">
        <v>433</v>
      </c>
      <c r="B55" s="22" t="n">
        <f aca="false">B35*(1-INPUT!$B$40)+B36+B41+B45*(1-INPUT!$B$41)</f>
        <v>37723.4460227273</v>
      </c>
      <c r="C55" s="22" t="n">
        <f aca="false">C35*(1-INPUT!$B$40)+C36+C41+C45*(1-INPUT!$B$41)</f>
        <v>42478.595</v>
      </c>
      <c r="D55" s="22" t="n">
        <f aca="false">D35*(1-INPUT!$B$40)+D36+D41+D45*(1-INPUT!$B$41)</f>
        <v>47255.7607590909</v>
      </c>
      <c r="E55" s="22" t="n">
        <f aca="false">E35*(1-INPUT!$B$40)+E36+E41+E45*(1-INPUT!$B$41)</f>
        <v>52052.3012861818</v>
      </c>
      <c r="F55" s="22" t="n">
        <f aca="false">F35*(1-INPUT!$B$40)+F36+F41+F45*(1-INPUT!$B$41)</f>
        <v>56865.8916091127</v>
      </c>
      <c r="G55" s="22" t="n">
        <f aca="false">G35*(1-INPUT!$B$40)+G36+G41+G45*(1-INPUT!$B$41)</f>
        <v>61694.4857523828</v>
      </c>
      <c r="H55" s="22" t="n">
        <f aca="false">H35*(1-INPUT!$B$40)+H36+H41+H45*(1-INPUT!$B$41)</f>
        <v>66536.2832575514</v>
      </c>
      <c r="I55" s="22" t="n">
        <f aca="false">I35*(1-INPUT!$B$40)+I36+I41+I45*(1-INPUT!$B$41)</f>
        <v>71389.6997211907</v>
      </c>
      <c r="J55" s="22" t="n">
        <f aca="false">J35*(1-INPUT!$B$40)+J36+J41+J45*(1-INPUT!$B$41)</f>
        <v>76253.3408682842</v>
      </c>
      <c r="K55" s="22" t="n">
        <f aca="false">K35*(1-INPUT!$B$40)+K36+K41+K45*(1-INPUT!$B$41)</f>
        <v>81125.9797368174</v>
      </c>
      <c r="L55" s="22" t="n">
        <f aca="false">L35*(1-INPUT!$B$40)+L36+L41+L45*(1-INPUT!$B$41)</f>
        <v>86006.5366002174</v>
      </c>
      <c r="M55" s="22" t="n">
        <f aca="false">M35*(1-INPUT!$B$40)+M36+M41+M45*(1-INPUT!$B$41)</f>
        <v>90894.0612991005</v>
      </c>
      <c r="N55" s="22" t="n">
        <f aca="false">N35*(1-INPUT!$B$40)+N36+N41+N45*(1-INPUT!$B$41)</f>
        <v>107585.283412905</v>
      </c>
      <c r="O55" s="22" t="n">
        <f aca="false">O35*(1-INPUT!$B$40)+O36+O41+O45*(1-INPUT!$B$41)</f>
        <v>117859.428509417</v>
      </c>
      <c r="P55" s="22" t="n">
        <f aca="false">P35*(1-INPUT!$B$40)+P36+P41+P45*(1-INPUT!$B$41)</f>
        <v>128235.195830711</v>
      </c>
      <c r="Q55" s="22" t="n">
        <f aca="false">Q35*(1-INPUT!$B$40)+Q36+Q41+Q45*(1-INPUT!$B$41)</f>
        <v>138700.390709814</v>
      </c>
      <c r="R55" s="22" t="n">
        <f aca="false">R35*(1-INPUT!$B$40)+R36+R41+R45*(1-INPUT!$B$41)</f>
        <v>149244.281839788</v>
      </c>
      <c r="S55" s="22" t="n">
        <f aca="false">S35*(1-INPUT!$B$40)+S36+S41+S45*(1-INPUT!$B$41)</f>
        <v>159857.425670528</v>
      </c>
      <c r="T55" s="22" t="n">
        <f aca="false">T35*(1-INPUT!$B$40)+T36+T41+T45*(1-INPUT!$B$41)</f>
        <v>170531.511877944</v>
      </c>
      <c r="U55" s="22" t="n">
        <f aca="false">U35*(1-INPUT!$B$40)+U36+U41+U45*(1-INPUT!$B$41)</f>
        <v>181259.227376833</v>
      </c>
      <c r="V55" s="22" t="n">
        <f aca="false">V35*(1-INPUT!$B$40)+V36+V41+V45*(1-INPUT!$B$41)</f>
        <v>192034.136652219</v>
      </c>
      <c r="W55" s="22" t="n">
        <f aca="false">W35*(1-INPUT!$B$40)+W36+W41+W45*(1-INPUT!$B$41)</f>
        <v>202850.576450922</v>
      </c>
      <c r="X55" s="22" t="n">
        <f aca="false">X35*(1-INPUT!$B$40)+X36+X41+X45*(1-INPUT!$B$41)</f>
        <v>213703.563110145</v>
      </c>
      <c r="Y55" s="22" t="n">
        <f aca="false">Y35*(1-INPUT!$B$40)+Y36+Y41+Y45*(1-INPUT!$B$41)</f>
        <v>224588.711006625</v>
      </c>
      <c r="Z55" s="22" t="n">
        <f aca="false">Z35*(1-INPUT!$B$40)+Z36+Z41+Z45*(1-INPUT!$B$41)</f>
        <v>240738.56268583</v>
      </c>
      <c r="AA55" s="22" t="n">
        <f aca="false">AA35*(1-INPUT!$B$40)+AA36+AA41+AA45*(1-INPUT!$B$41)</f>
        <v>252636.531572621</v>
      </c>
      <c r="AB55" s="22" t="n">
        <f aca="false">AB35*(1-INPUT!$B$40)+AB36+AB41+AB45*(1-INPUT!$B$41)</f>
        <v>264572.187602088</v>
      </c>
      <c r="AC55" s="22" t="n">
        <f aca="false">AC35*(1-INPUT!$B$40)+AC36+AC41+AC45*(1-INPUT!$B$41)</f>
        <v>276541.00831711</v>
      </c>
      <c r="AD55" s="22" t="n">
        <f aca="false">AD35*(1-INPUT!$B$40)+AD36+AD41+AD45*(1-INPUT!$B$41)</f>
        <v>288539.013955421</v>
      </c>
      <c r="AE55" s="22" t="n">
        <f aca="false">AE35*(1-INPUT!$B$40)+AE36+AE41+AE45*(1-INPUT!$B$41)</f>
        <v>300562.702326225</v>
      </c>
      <c r="AF55" s="22" t="n">
        <f aca="false">AF35*(1-INPUT!$B$40)+AF36+AF41+AF45*(1-INPUT!$B$41)</f>
        <v>312608.991501623</v>
      </c>
      <c r="AG55" s="22" t="n">
        <f aca="false">AG35*(1-INPUT!$B$40)+AG36+AG41+AG45*(1-INPUT!$B$41)</f>
        <v>324675.169385065</v>
      </c>
      <c r="AH55" s="22" t="n">
        <f aca="false">AH35*(1-INPUT!$B$40)+AH36+AH41+AH45*(1-INPUT!$B$41)</f>
        <v>336758.849331584</v>
      </c>
      <c r="AI55" s="22" t="n">
        <f aca="false">AI35*(1-INPUT!$B$40)+AI36+AI41+AI45*(1-INPUT!$B$41)</f>
        <v>348857.931093612</v>
      </c>
      <c r="AJ55" s="22" t="n">
        <f aca="false">AJ35*(1-INPUT!$B$40)+AJ36+AJ41+AJ45*(1-INPUT!$B$41)</f>
        <v>360970.566453288</v>
      </c>
      <c r="AK55" s="22" t="n">
        <f aca="false">AK35*(1-INPUT!$B$40)+AK36+AK41+AK45*(1-INPUT!$B$41)</f>
        <v>373095.128978893</v>
      </c>
      <c r="AL55" s="22" t="n">
        <f aca="false">AL35*(1-INPUT!$B$40)+AL36+AL41+AL45*(1-INPUT!$B$41)</f>
        <v>426623.16013779</v>
      </c>
      <c r="AM55" s="22" t="n">
        <f aca="false">AM35*(1-INPUT!$B$40)+AM36+AM41+AM45*(1-INPUT!$B$41)</f>
        <v>439503.583330346</v>
      </c>
      <c r="AN55" s="22" t="n">
        <f aca="false">AN35*(1-INPUT!$B$40)+AN36+AN41+AN45*(1-INPUT!$B$41)</f>
        <v>452374.111512523</v>
      </c>
      <c r="AO55" s="22" t="n">
        <f aca="false">AO35*(1-INPUT!$B$40)+AO36+AO41+AO45*(1-INPUT!$B$41)</f>
        <v>465235.932085565</v>
      </c>
      <c r="AP55" s="22" t="n">
        <f aca="false">AP35*(1-INPUT!$B$40)+AP36+AP41+AP45*(1-INPUT!$B$41)</f>
        <v>478090.08996257</v>
      </c>
      <c r="AQ55" s="22" t="n">
        <f aca="false">AQ35*(1-INPUT!$B$40)+AQ36+AQ41+AQ45*(1-INPUT!$B$41)</f>
        <v>490937.504667062</v>
      </c>
      <c r="AR55" s="22" t="n">
        <f aca="false">AR35*(1-INPUT!$B$40)+AR36+AR41+AR45*(1-INPUT!$B$41)</f>
        <v>503778.985379742</v>
      </c>
      <c r="AS55" s="22" t="n">
        <f aca="false">AS35*(1-INPUT!$B$40)+AS36+AS41+AS45*(1-INPUT!$B$41)</f>
        <v>516615.244179627</v>
      </c>
      <c r="AT55" s="22" t="n">
        <f aca="false">AT35*(1-INPUT!$B$40)+AT36+AT41+AT45*(1-INPUT!$B$41)</f>
        <v>529446.907696254</v>
      </c>
      <c r="AU55" s="22" t="n">
        <f aca="false">AU35*(1-INPUT!$B$40)+AU36+AU41+AU45*(1-INPUT!$B$41)</f>
        <v>542274.527363612</v>
      </c>
      <c r="AV55" s="22" t="n">
        <f aca="false">AV35*(1-INPUT!$B$40)+AV36+AV41+AV45*(1-INPUT!$B$41)</f>
        <v>555098.588443615</v>
      </c>
      <c r="AW55" s="22" t="n">
        <f aca="false">AW35*(1-INPUT!$B$40)+AW36+AW41+AW45*(1-INPUT!$B$41)</f>
        <v>567919.517966745</v>
      </c>
      <c r="AX55" s="22" t="n">
        <f aca="false">AX35*(1-INPUT!$B$40)+AX36+AX41+AX45*(1-INPUT!$B$41)</f>
        <v>639147.93035619</v>
      </c>
      <c r="AY55" s="22" t="n">
        <f aca="false">AY35*(1-INPUT!$B$40)+AY36+AY41+AY45*(1-INPUT!$B$41)</f>
        <v>653502.209258902</v>
      </c>
      <c r="AZ55" s="22" t="n">
        <f aca="false">AZ35*(1-INPUT!$B$40)+AZ36+AZ41+AZ45*(1-INPUT!$B$41)</f>
        <v>667871.250693288</v>
      </c>
      <c r="BA55" s="22" t="n">
        <f aca="false">BA35*(1-INPUT!$B$40)+BA36+BA41+BA45*(1-INPUT!$B$41)</f>
        <v>682253.283155548</v>
      </c>
      <c r="BB55" s="22" t="n">
        <f aca="false">BB35*(1-INPUT!$B$40)+BB36+BB41+BB45*(1-INPUT!$B$41)</f>
        <v>696646.747722337</v>
      </c>
      <c r="BC55" s="22" t="n">
        <f aca="false">BC35*(1-INPUT!$B$40)+BC36+BC41+BC45*(1-INPUT!$B$41)</f>
        <v>711050.272541111</v>
      </c>
      <c r="BD55" s="22" t="n">
        <f aca="false">BD35*(1-INPUT!$B$40)+BD36+BD41+BD45*(1-INPUT!$B$41)</f>
        <v>725462.650381632</v>
      </c>
      <c r="BE55" s="22" t="n">
        <f aca="false">BE35*(1-INPUT!$B$40)+BE36+BE41+BE45*(1-INPUT!$B$41)</f>
        <v>739882.818881291</v>
      </c>
      <c r="BF55" s="22" t="n">
        <f aca="false">BF35*(1-INPUT!$B$40)+BF36+BF41+BF45*(1-INPUT!$B$41)</f>
        <v>754309.843160991</v>
      </c>
      <c r="BG55" s="22" t="n">
        <f aca="false">BG35*(1-INPUT!$B$40)+BG36+BG41+BG45*(1-INPUT!$B$41)</f>
        <v>768742.900527126</v>
      </c>
      <c r="BH55" s="22" t="n">
        <f aca="false">BH35*(1-INPUT!$B$40)+BH36+BH41+BH45*(1-INPUT!$B$41)</f>
        <v>783181.267009326</v>
      </c>
      <c r="BI55" s="22" t="n">
        <f aca="false">BI35*(1-INPUT!$B$40)+BI36+BI41+BI45*(1-INPUT!$B$41)</f>
        <v>797624.305513661</v>
      </c>
    </row>
    <row r="56" customFormat="false" ht="15" hidden="false" customHeight="true" outlineLevel="0" collapsed="false">
      <c r="A56" s="11" t="s">
        <v>434</v>
      </c>
      <c r="B56" s="12" t="n">
        <f aca="false">B55*INPUT!$B$42*INPUT!$B$43</f>
        <v>1131.70338068182</v>
      </c>
      <c r="C56" s="12" t="n">
        <f aca="false">C55*INPUT!$B$42*INPUT!$B$43</f>
        <v>1274.35785</v>
      </c>
      <c r="D56" s="12" t="n">
        <f aca="false">D55*INPUT!$B$42*INPUT!$B$43</f>
        <v>1417.67282277273</v>
      </c>
      <c r="E56" s="12" t="n">
        <f aca="false">E55*INPUT!$B$42*INPUT!$B$43</f>
        <v>1561.56903858545</v>
      </c>
      <c r="F56" s="12" t="n">
        <f aca="false">F55*INPUT!$B$42*INPUT!$B$43</f>
        <v>1705.97674827338</v>
      </c>
      <c r="G56" s="12" t="n">
        <f aca="false">G55*INPUT!$B$42*INPUT!$B$43</f>
        <v>1850.83457257148</v>
      </c>
      <c r="H56" s="12" t="n">
        <f aca="false">H55*INPUT!$B$42*INPUT!$B$43</f>
        <v>1996.08849772654</v>
      </c>
      <c r="I56" s="12" t="n">
        <f aca="false">I55*INPUT!$B$42*INPUT!$B$43</f>
        <v>2141.69099163572</v>
      </c>
      <c r="J56" s="12" t="n">
        <f aca="false">J55*INPUT!$B$42*INPUT!$B$43</f>
        <v>2287.60022604853</v>
      </c>
      <c r="K56" s="12" t="n">
        <f aca="false">K55*INPUT!$B$42*INPUT!$B$43</f>
        <v>2433.77939210452</v>
      </c>
      <c r="L56" s="12" t="n">
        <f aca="false">L55*INPUT!$B$42*INPUT!$B$43</f>
        <v>2580.19609800652</v>
      </c>
      <c r="M56" s="12" t="n">
        <f aca="false">M55*INPUT!$B$42*INPUT!$B$43</f>
        <v>2726.82183897301</v>
      </c>
      <c r="N56" s="12" t="n">
        <f aca="false">N55*INPUT!$B$42*INPUT!$B$43</f>
        <v>3227.55850238716</v>
      </c>
      <c r="O56" s="12" t="n">
        <f aca="false">O55*INPUT!$B$42*INPUT!$B$43</f>
        <v>3535.78285528252</v>
      </c>
      <c r="P56" s="12" t="n">
        <f aca="false">P55*INPUT!$B$42*INPUT!$B$43</f>
        <v>3847.05587492134</v>
      </c>
      <c r="Q56" s="12" t="n">
        <f aca="false">Q55*INPUT!$B$42*INPUT!$B$43</f>
        <v>4161.01172129442</v>
      </c>
      <c r="R56" s="12" t="n">
        <f aca="false">R55*INPUT!$B$42*INPUT!$B$43</f>
        <v>4477.32845519363</v>
      </c>
      <c r="S56" s="12" t="n">
        <f aca="false">S55*INPUT!$B$42*INPUT!$B$43</f>
        <v>4795.72277011585</v>
      </c>
      <c r="T56" s="12" t="n">
        <f aca="false">T55*INPUT!$B$42*INPUT!$B$43</f>
        <v>5115.94535633831</v>
      </c>
      <c r="U56" s="12" t="n">
        <f aca="false">U55*INPUT!$B$42*INPUT!$B$43</f>
        <v>5437.77682130499</v>
      </c>
      <c r="V56" s="12" t="n">
        <f aca="false">V55*INPUT!$B$42*INPUT!$B$43</f>
        <v>5761.02409956657</v>
      </c>
      <c r="W56" s="12" t="n">
        <f aca="false">W55*INPUT!$B$42*INPUT!$B$43</f>
        <v>6085.51729352767</v>
      </c>
      <c r="X56" s="12" t="n">
        <f aca="false">X55*INPUT!$B$42*INPUT!$B$43</f>
        <v>6411.10689330435</v>
      </c>
      <c r="Y56" s="12" t="n">
        <f aca="false">Y55*INPUT!$B$42*INPUT!$B$43</f>
        <v>6737.66133019874</v>
      </c>
      <c r="Z56" s="12" t="n">
        <f aca="false">Z55*INPUT!$B$42*INPUT!$B$43</f>
        <v>7222.15688057489</v>
      </c>
      <c r="AA56" s="12" t="n">
        <f aca="false">AA55*INPUT!$B$42*INPUT!$B$43</f>
        <v>7579.09594717863</v>
      </c>
      <c r="AB56" s="12" t="n">
        <f aca="false">AB55*INPUT!$B$42*INPUT!$B$43</f>
        <v>7937.16562806265</v>
      </c>
      <c r="AC56" s="12" t="n">
        <f aca="false">AC55*INPUT!$B$42*INPUT!$B$43</f>
        <v>8296.23024951331</v>
      </c>
      <c r="AD56" s="12" t="n">
        <f aca="false">AD55*INPUT!$B$42*INPUT!$B$43</f>
        <v>8656.17041866263</v>
      </c>
      <c r="AE56" s="12" t="n">
        <f aca="false">AE55*INPUT!$B$42*INPUT!$B$43</f>
        <v>9016.88106978675</v>
      </c>
      <c r="AF56" s="12" t="n">
        <f aca="false">AF55*INPUT!$B$42*INPUT!$B$43</f>
        <v>9378.2697450487</v>
      </c>
      <c r="AG56" s="12" t="n">
        <f aca="false">AG55*INPUT!$B$42*INPUT!$B$43</f>
        <v>9740.25508155195</v>
      </c>
      <c r="AH56" s="12" t="n">
        <f aca="false">AH55*INPUT!$B$42*INPUT!$B$43</f>
        <v>10102.7654799475</v>
      </c>
      <c r="AI56" s="12" t="n">
        <f aca="false">AI55*INPUT!$B$42*INPUT!$B$43</f>
        <v>10465.7379328084</v>
      </c>
      <c r="AJ56" s="12" t="n">
        <f aca="false">AJ55*INPUT!$B$42*INPUT!$B$43</f>
        <v>10829.1169935986</v>
      </c>
      <c r="AK56" s="12" t="n">
        <f aca="false">AK55*INPUT!$B$42*INPUT!$B$43</f>
        <v>11192.8538693668</v>
      </c>
      <c r="AL56" s="12" t="n">
        <f aca="false">AL55*INPUT!$B$42*INPUT!$B$43</f>
        <v>12798.6948041337</v>
      </c>
      <c r="AM56" s="12" t="n">
        <f aca="false">AM55*INPUT!$B$42*INPUT!$B$43</f>
        <v>13185.1074999104</v>
      </c>
      <c r="AN56" s="12" t="n">
        <f aca="false">AN55*INPUT!$B$42*INPUT!$B$43</f>
        <v>13571.2233453757</v>
      </c>
      <c r="AO56" s="12" t="n">
        <f aca="false">AO55*INPUT!$B$42*INPUT!$B$43</f>
        <v>13957.077962567</v>
      </c>
      <c r="AP56" s="12" t="n">
        <f aca="false">AP55*INPUT!$B$42*INPUT!$B$43</f>
        <v>14342.7026988771</v>
      </c>
      <c r="AQ56" s="12" t="n">
        <f aca="false">AQ55*INPUT!$B$42*INPUT!$B$43</f>
        <v>14728.1251400119</v>
      </c>
      <c r="AR56" s="12" t="n">
        <f aca="false">AR55*INPUT!$B$42*INPUT!$B$43</f>
        <v>15113.3695613923</v>
      </c>
      <c r="AS56" s="12" t="n">
        <f aca="false">AS55*INPUT!$B$42*INPUT!$B$43</f>
        <v>15498.4573253888</v>
      </c>
      <c r="AT56" s="12" t="n">
        <f aca="false">AT55*INPUT!$B$42*INPUT!$B$43</f>
        <v>15883.4072308876</v>
      </c>
      <c r="AU56" s="12" t="n">
        <f aca="false">AU55*INPUT!$B$42*INPUT!$B$43</f>
        <v>16268.2358209084</v>
      </c>
      <c r="AV56" s="12" t="n">
        <f aca="false">AV55*INPUT!$B$42*INPUT!$B$43</f>
        <v>16652.9576533085</v>
      </c>
      <c r="AW56" s="12" t="n">
        <f aca="false">AW55*INPUT!$B$42*INPUT!$B$43</f>
        <v>17037.5855390023</v>
      </c>
      <c r="AX56" s="12" t="n">
        <f aca="false">AX55*INPUT!$B$42*INPUT!$B$43</f>
        <v>19174.4379106857</v>
      </c>
      <c r="AY56" s="12" t="n">
        <f aca="false">AY55*INPUT!$B$42*INPUT!$B$43</f>
        <v>19605.0662777671</v>
      </c>
      <c r="AZ56" s="12" t="n">
        <f aca="false">AZ55*INPUT!$B$42*INPUT!$B$43</f>
        <v>20036.1375207986</v>
      </c>
      <c r="BA56" s="12" t="n">
        <f aca="false">BA55*INPUT!$B$42*INPUT!$B$43</f>
        <v>20467.5984946664</v>
      </c>
      <c r="BB56" s="12" t="n">
        <f aca="false">BB55*INPUT!$B$42*INPUT!$B$43</f>
        <v>20899.4024316701</v>
      </c>
      <c r="BC56" s="12" t="n">
        <f aca="false">BC55*INPUT!$B$42*INPUT!$B$43</f>
        <v>21331.5081762333</v>
      </c>
      <c r="BD56" s="12" t="n">
        <f aca="false">BD55*INPUT!$B$42*INPUT!$B$43</f>
        <v>21763.879511449</v>
      </c>
      <c r="BE56" s="12" t="n">
        <f aca="false">BE55*INPUT!$B$42*INPUT!$B$43</f>
        <v>22196.4845664387</v>
      </c>
      <c r="BF56" s="12" t="n">
        <f aca="false">BF55*INPUT!$B$42*INPUT!$B$43</f>
        <v>22629.2952948297</v>
      </c>
      <c r="BG56" s="12" t="n">
        <f aca="false">BG55*INPUT!$B$42*INPUT!$B$43</f>
        <v>23062.2870158138</v>
      </c>
      <c r="BH56" s="12" t="n">
        <f aca="false">BH55*INPUT!$B$42*INPUT!$B$43</f>
        <v>23495.4380102798</v>
      </c>
      <c r="BI56" s="12" t="n">
        <f aca="false">BI55*INPUT!$B$42*INPUT!$B$43</f>
        <v>23928.7291654098</v>
      </c>
    </row>
    <row r="57" customFormat="false" ht="15" hidden="false" customHeight="true" outlineLevel="0" collapsed="false">
      <c r="A57" s="7" t="s">
        <v>435</v>
      </c>
      <c r="B57" s="8"/>
      <c r="C57" s="8"/>
      <c r="D57" s="8"/>
      <c r="E57" s="8"/>
      <c r="F57" s="8"/>
      <c r="G57" s="8"/>
    </row>
    <row r="58" customFormat="false" ht="15" hidden="false" customHeight="true" outlineLevel="0" collapsed="false">
      <c r="A58" s="6" t="s">
        <v>436</v>
      </c>
      <c r="B58" s="22" t="n">
        <f aca="false">B30+B31+B39</f>
        <v>23.75</v>
      </c>
      <c r="C58" s="22" t="n">
        <f aca="false">C30+C31+C39</f>
        <v>27.5</v>
      </c>
      <c r="D58" s="22" t="n">
        <f aca="false">D30+D31+D39</f>
        <v>31.25</v>
      </c>
      <c r="E58" s="22" t="n">
        <f aca="false">E30+E31+E39</f>
        <v>35</v>
      </c>
      <c r="F58" s="22" t="n">
        <f aca="false">F30+F31+F39</f>
        <v>38.75</v>
      </c>
      <c r="G58" s="22" t="n">
        <f aca="false">G30+G31+G39</f>
        <v>42.5</v>
      </c>
      <c r="H58" s="22" t="n">
        <f aca="false">H30+H31+H39</f>
        <v>46.25</v>
      </c>
      <c r="I58" s="22" t="n">
        <f aca="false">I30+I31+I39</f>
        <v>50</v>
      </c>
      <c r="J58" s="22" t="n">
        <f aca="false">J30+J31+J39</f>
        <v>53.75</v>
      </c>
      <c r="K58" s="22" t="n">
        <f aca="false">K30+K31+K39</f>
        <v>57.5</v>
      </c>
      <c r="L58" s="22" t="n">
        <f aca="false">L30+L31+L39</f>
        <v>61.25</v>
      </c>
      <c r="M58" s="22" t="n">
        <f aca="false">M30+M31+M39</f>
        <v>65</v>
      </c>
      <c r="N58" s="22" t="n">
        <f aca="false">N30+N31+N39</f>
        <v>72.25</v>
      </c>
      <c r="O58" s="22" t="n">
        <f aca="false">O30+O31+O39</f>
        <v>79.5</v>
      </c>
      <c r="P58" s="22" t="n">
        <f aca="false">P30+P31+P39</f>
        <v>86.75</v>
      </c>
      <c r="Q58" s="22" t="n">
        <f aca="false">Q30+Q31+Q39</f>
        <v>94</v>
      </c>
      <c r="R58" s="22" t="n">
        <f aca="false">R30+R31+R39</f>
        <v>101.25</v>
      </c>
      <c r="S58" s="22" t="n">
        <f aca="false">S30+S31+S39</f>
        <v>108.5</v>
      </c>
      <c r="T58" s="22" t="n">
        <f aca="false">T30+T31+T39</f>
        <v>115.75</v>
      </c>
      <c r="U58" s="22" t="n">
        <f aca="false">U30+U31+U39</f>
        <v>123</v>
      </c>
      <c r="V58" s="22" t="n">
        <f aca="false">V30+V31+V39</f>
        <v>130.25</v>
      </c>
      <c r="W58" s="22" t="n">
        <f aca="false">W30+W31+W39</f>
        <v>137.5</v>
      </c>
      <c r="X58" s="22" t="n">
        <f aca="false">X30+X31+X39</f>
        <v>144.75</v>
      </c>
      <c r="Y58" s="22" t="n">
        <f aca="false">Y30+Y31+Y39</f>
        <v>152</v>
      </c>
      <c r="Z58" s="22" t="n">
        <f aca="false">Z30+Z31+Z39</f>
        <v>160.75</v>
      </c>
      <c r="AA58" s="22" t="n">
        <f aca="false">AA30+AA31+AA39</f>
        <v>169.5</v>
      </c>
      <c r="AB58" s="22" t="n">
        <f aca="false">AB30+AB31+AB39</f>
        <v>178.25</v>
      </c>
      <c r="AC58" s="22" t="n">
        <f aca="false">AC30+AC31+AC39</f>
        <v>187</v>
      </c>
      <c r="AD58" s="22" t="n">
        <f aca="false">AD30+AD31+AD39</f>
        <v>195.75</v>
      </c>
      <c r="AE58" s="22" t="n">
        <f aca="false">AE30+AE31+AE39</f>
        <v>204.5</v>
      </c>
      <c r="AF58" s="22" t="n">
        <f aca="false">AF30+AF31+AF39</f>
        <v>213.25</v>
      </c>
      <c r="AG58" s="22" t="n">
        <f aca="false">AG30+AG31+AG39</f>
        <v>222</v>
      </c>
      <c r="AH58" s="22" t="n">
        <f aca="false">AH30+AH31+AH39</f>
        <v>230.75</v>
      </c>
      <c r="AI58" s="22" t="n">
        <f aca="false">AI30+AI31+AI39</f>
        <v>239.5</v>
      </c>
      <c r="AJ58" s="22" t="n">
        <f aca="false">AJ30+AJ31+AJ39</f>
        <v>248.25</v>
      </c>
      <c r="AK58" s="22" t="n">
        <f aca="false">AK30+AK31+AK39</f>
        <v>257</v>
      </c>
      <c r="AL58" s="22" t="n">
        <f aca="false">AL30+AL31+AL39</f>
        <v>265.583333333333</v>
      </c>
      <c r="AM58" s="22" t="n">
        <f aca="false">AM30+AM31+AM39</f>
        <v>274.166666666667</v>
      </c>
      <c r="AN58" s="22" t="n">
        <f aca="false">AN30+AN31+AN39</f>
        <v>282.75</v>
      </c>
      <c r="AO58" s="22" t="n">
        <f aca="false">AO30+AO31+AO39</f>
        <v>291.333333333333</v>
      </c>
      <c r="AP58" s="22" t="n">
        <f aca="false">AP30+AP31+AP39</f>
        <v>299.916666666667</v>
      </c>
      <c r="AQ58" s="22" t="n">
        <f aca="false">AQ30+AQ31+AQ39</f>
        <v>308.5</v>
      </c>
      <c r="AR58" s="22" t="n">
        <f aca="false">AR30+AR31+AR39</f>
        <v>317.083333333333</v>
      </c>
      <c r="AS58" s="22" t="n">
        <f aca="false">AS30+AS31+AS39</f>
        <v>325.666666666667</v>
      </c>
      <c r="AT58" s="22" t="n">
        <f aca="false">AT30+AT31+AT39</f>
        <v>334.25</v>
      </c>
      <c r="AU58" s="22" t="n">
        <f aca="false">AU30+AU31+AU39</f>
        <v>342.833333333333</v>
      </c>
      <c r="AV58" s="22" t="n">
        <f aca="false">AV30+AV31+AV39</f>
        <v>351.416666666667</v>
      </c>
      <c r="AW58" s="22" t="n">
        <f aca="false">AW30+AW31+AW39</f>
        <v>360</v>
      </c>
      <c r="AX58" s="22" t="n">
        <f aca="false">AX30+AX31+AX39</f>
        <v>369</v>
      </c>
      <c r="AY58" s="22" t="n">
        <f aca="false">AY30+AY31+AY39</f>
        <v>378</v>
      </c>
      <c r="AZ58" s="22" t="n">
        <f aca="false">AZ30+AZ31+AZ39</f>
        <v>387</v>
      </c>
      <c r="BA58" s="22" t="n">
        <f aca="false">BA30+BA31+BA39</f>
        <v>396</v>
      </c>
      <c r="BB58" s="22" t="n">
        <f aca="false">BB30+BB31+BB39</f>
        <v>405</v>
      </c>
      <c r="BC58" s="22" t="n">
        <f aca="false">BC30+BC31+BC39</f>
        <v>414</v>
      </c>
      <c r="BD58" s="22" t="n">
        <f aca="false">BD30+BD31+BD39</f>
        <v>423</v>
      </c>
      <c r="BE58" s="22" t="n">
        <f aca="false">BE30+BE31+BE39</f>
        <v>432</v>
      </c>
      <c r="BF58" s="22" t="n">
        <f aca="false">BF30+BF31+BF39</f>
        <v>441</v>
      </c>
      <c r="BG58" s="22" t="n">
        <f aca="false">BG30+BG31+BG39</f>
        <v>450</v>
      </c>
      <c r="BH58" s="22" t="n">
        <f aca="false">BH30+BH31+BH39</f>
        <v>459</v>
      </c>
      <c r="BI58" s="22" t="n">
        <f aca="false">BI30+BI31+BI39</f>
        <v>468</v>
      </c>
    </row>
    <row r="59" customFormat="false" ht="15" hidden="false" customHeight="true" outlineLevel="0" collapsed="false">
      <c r="A59" s="6" t="s">
        <v>437</v>
      </c>
      <c r="B59" s="22" t="n">
        <f aca="false">B27+B43</f>
        <v>159.778653846154</v>
      </c>
      <c r="C59" s="22" t="n">
        <f aca="false">C27+C43</f>
        <v>239.737907692308</v>
      </c>
      <c r="D59" s="22" t="n">
        <f aca="false">D27+D43</f>
        <v>313.917628</v>
      </c>
      <c r="E59" s="22" t="n">
        <f aca="false">E27+E43</f>
        <v>382.938281870769</v>
      </c>
      <c r="F59" s="22" t="n">
        <f aca="false">F27+F43</f>
        <v>447.347707277046</v>
      </c>
      <c r="G59" s="22" t="n">
        <f aca="false">G27+G43</f>
        <v>507.62978288457</v>
      </c>
      <c r="H59" s="22" t="n">
        <f aca="false">H27+H43</f>
        <v>564.212058637941</v>
      </c>
      <c r="I59" s="22" t="n">
        <f aca="false">I27+I43</f>
        <v>617.472471789188</v>
      </c>
      <c r="J59" s="22" t="n">
        <f aca="false">J27+J43</f>
        <v>667.74525808836</v>
      </c>
      <c r="K59" s="22" t="n">
        <f aca="false">K27+K43</f>
        <v>715.326154689554</v>
      </c>
      <c r="L59" s="22" t="n">
        <f aca="false">L27+L43</f>
        <v>760.476979740079</v>
      </c>
      <c r="M59" s="22" t="n">
        <f aca="false">M27+M43</f>
        <v>803.429663424978</v>
      </c>
      <c r="N59" s="22" t="n">
        <f aca="false">N27+N43</f>
        <v>1048.58949956382</v>
      </c>
      <c r="O59" s="22" t="n">
        <f aca="false">O27+O43</f>
        <v>1187.01951346676</v>
      </c>
      <c r="P59" s="22" t="n">
        <f aca="false">P27+P43</f>
        <v>1316.65328899794</v>
      </c>
      <c r="Q59" s="22" t="n">
        <f aca="false">Q27+Q43</f>
        <v>1438.39587817955</v>
      </c>
      <c r="R59" s="22" t="n">
        <f aca="false">R27+R43</f>
        <v>1553.0474892057</v>
      </c>
      <c r="S59" s="22" t="n">
        <f aca="false">S27+S43</f>
        <v>1661.31597364137</v>
      </c>
      <c r="T59" s="22" t="n">
        <f aca="false">T27+T43</f>
        <v>1763.82781750911</v>
      </c>
      <c r="U59" s="22" t="n">
        <f aca="false">U27+U43</f>
        <v>1861.13781573796</v>
      </c>
      <c r="V59" s="22" t="n">
        <f aca="false">V27+V43</f>
        <v>1953.73758791396</v>
      </c>
      <c r="W59" s="22" t="n">
        <f aca="false">W27+W43</f>
        <v>2042.06307432008</v>
      </c>
      <c r="X59" s="22" t="n">
        <f aca="false">X27+X43</f>
        <v>2126.50113457643</v>
      </c>
      <c r="Y59" s="22" t="n">
        <f aca="false">Y27+Y43</f>
        <v>2207.3953565155</v>
      </c>
      <c r="Z59" s="22" t="n">
        <f aca="false">Z27+Z43</f>
        <v>2483.61086842524</v>
      </c>
      <c r="AA59" s="22" t="n">
        <f aca="false">AA27+AA43</f>
        <v>2653.81450277661</v>
      </c>
      <c r="AB59" s="22" t="n">
        <f aca="false">AB27+AB43</f>
        <v>2813.74869143064</v>
      </c>
      <c r="AC59" s="22" t="n">
        <f aca="false">AC27+AC43</f>
        <v>2964.4404556104</v>
      </c>
      <c r="AD59" s="22" t="n">
        <f aca="false">AD27+AD43</f>
        <v>3106.7987067987</v>
      </c>
      <c r="AE59" s="22" t="n">
        <f aca="false">AE27+AE43</f>
        <v>3241.62829158674</v>
      </c>
      <c r="AF59" s="22" t="n">
        <f aca="false">AF27+AF43</f>
        <v>3369.64235434902</v>
      </c>
      <c r="AG59" s="22" t="n">
        <f aca="false">AG27+AG43</f>
        <v>3491.47321952489</v>
      </c>
      <c r="AH59" s="22" t="n">
        <f aca="false">AH27+AH43</f>
        <v>3607.6819710761</v>
      </c>
      <c r="AI59" s="22" t="n">
        <f aca="false">AI27+AI43</f>
        <v>3718.7668853827</v>
      </c>
      <c r="AJ59" s="22" t="n">
        <f aca="false">AJ27+AJ43</f>
        <v>3825.17085509051</v>
      </c>
      <c r="AK59" s="22" t="n">
        <f aca="false">AK27+AK43</f>
        <v>3927.28792492342</v>
      </c>
      <c r="AL59" s="22" t="n">
        <f aca="false">AL27+AL43</f>
        <v>4324.44634509948</v>
      </c>
      <c r="AM59" s="22" t="n">
        <f aca="false">AM27+AM43</f>
        <v>4562.27834478464</v>
      </c>
      <c r="AN59" s="22" t="n">
        <f aca="false">AN27+AN43</f>
        <v>4785.08956953998</v>
      </c>
      <c r="AO59" s="22" t="n">
        <f aca="false">AO27+AO43</f>
        <v>4994.38889823127</v>
      </c>
      <c r="AP59" s="22" t="n">
        <f aca="false">AP27+AP43</f>
        <v>5191.51148461354</v>
      </c>
      <c r="AQ59" s="22" t="n">
        <f aca="false">AQ27+AQ43</f>
        <v>5377.63942083551</v>
      </c>
      <c r="AR59" s="22" t="n">
        <f aca="false">AR27+AR43</f>
        <v>5553.81992591129</v>
      </c>
      <c r="AS59" s="22" t="n">
        <f aca="false">AS27+AS43</f>
        <v>5720.9813560484</v>
      </c>
      <c r="AT59" s="22" t="n">
        <f aca="false">AT27+AT43</f>
        <v>5879.94729809772</v>
      </c>
      <c r="AU59" s="22" t="n">
        <f aca="false">AU27+AU43</f>
        <v>6031.44897604158</v>
      </c>
      <c r="AV59" s="22" t="n">
        <f aca="false">AV27+AV43</f>
        <v>6176.13617284911</v>
      </c>
      <c r="AW59" s="22" t="n">
        <f aca="false">AW27+AW43</f>
        <v>6314.58684575125</v>
      </c>
      <c r="AX59" s="22" t="n">
        <f aca="false">AX27+AX43</f>
        <v>6738.60557025635</v>
      </c>
      <c r="AY59" s="22" t="n">
        <f aca="false">AY27+AY43</f>
        <v>7006.1107687436</v>
      </c>
      <c r="AZ59" s="22" t="n">
        <f aca="false">AZ27+AZ43</f>
        <v>7257.64633007276</v>
      </c>
      <c r="BA59" s="22" t="n">
        <f aca="false">BA27+BA43</f>
        <v>7494.7736360363</v>
      </c>
      <c r="BB59" s="22" t="n">
        <f aca="false">BB27+BB43</f>
        <v>7718.87557697824</v>
      </c>
      <c r="BC59" s="22" t="n">
        <f aca="false">BC27+BC43</f>
        <v>7931.17774890882</v>
      </c>
      <c r="BD59" s="22" t="n">
        <f aca="false">BD27+BD43</f>
        <v>8132.76711251187</v>
      </c>
      <c r="BE59" s="22" t="n">
        <f aca="false">BE27+BE43</f>
        <v>8324.60841847908</v>
      </c>
      <c r="BF59" s="22" t="n">
        <f aca="false">BF27+BF43</f>
        <v>8507.55866707685</v>
      </c>
      <c r="BG59" s="22" t="n">
        <f aca="false">BG27+BG43</f>
        <v>8682.37983770583</v>
      </c>
      <c r="BH59" s="22" t="n">
        <f aca="false">BH27+BH43</f>
        <v>8849.75009592572</v>
      </c>
      <c r="BI59" s="22" t="n">
        <f aca="false">BI27+BI43</f>
        <v>9010.27366052393</v>
      </c>
    </row>
    <row r="60" customFormat="false" ht="15" hidden="false" customHeight="true" outlineLevel="0" collapsed="false">
      <c r="A60" s="11" t="s">
        <v>438</v>
      </c>
      <c r="B60" s="12" t="n">
        <f aca="false">IF(OR(B58&gt;=INPUT!$B$52,B37+B41&gt;=50000),B20,0)</f>
        <v>0</v>
      </c>
      <c r="C60" s="12" t="n">
        <f aca="false">IF(OR(C58&gt;=INPUT!$B$52,C37+C41&gt;=50000),C20,0)</f>
        <v>1</v>
      </c>
      <c r="D60" s="12" t="n">
        <f aca="false">IF(OR(D58&gt;=INPUT!$B$52,D37+D41&gt;=50000),D20,0)</f>
        <v>1</v>
      </c>
      <c r="E60" s="12" t="n">
        <f aca="false">IF(OR(E58&gt;=INPUT!$B$52,E37+E41&gt;=50000),E20,0)</f>
        <v>1</v>
      </c>
      <c r="F60" s="12" t="n">
        <f aca="false">IF(OR(F58&gt;=INPUT!$B$52,F37+F41&gt;=50000),F20,0)</f>
        <v>1</v>
      </c>
      <c r="G60" s="12" t="n">
        <f aca="false">IF(OR(G58&gt;=INPUT!$B$52,G37+G41&gt;=50000),G20,0)</f>
        <v>1</v>
      </c>
      <c r="H60" s="12" t="n">
        <f aca="false">IF(OR(H58&gt;=INPUT!$B$52,H37+H41&gt;=50000),H20,0)</f>
        <v>1</v>
      </c>
      <c r="I60" s="12" t="n">
        <f aca="false">IF(OR(I58&gt;=INPUT!$B$52,I37+I41&gt;=50000),I20,0)</f>
        <v>1</v>
      </c>
      <c r="J60" s="12" t="n">
        <f aca="false">IF(OR(J58&gt;=INPUT!$B$52,J37+J41&gt;=50000),J20,0)</f>
        <v>1</v>
      </c>
      <c r="K60" s="12" t="n">
        <f aca="false">IF(OR(K58&gt;=INPUT!$B$52,K37+K41&gt;=50000),K20,0)</f>
        <v>1</v>
      </c>
      <c r="L60" s="12" t="n">
        <f aca="false">IF(OR(L58&gt;=INPUT!$B$52,L37+L41&gt;=50000),L20,0)</f>
        <v>1</v>
      </c>
      <c r="M60" s="12" t="n">
        <f aca="false">IF(OR(M58&gt;=INPUT!$B$52,M37+M41&gt;=50000),M20,0)</f>
        <v>1</v>
      </c>
      <c r="N60" s="12" t="n">
        <f aca="false">IF(OR(N58&gt;=INPUT!$B$52,N37+N41&gt;=50000),N20,0)</f>
        <v>2</v>
      </c>
      <c r="O60" s="12" t="n">
        <f aca="false">IF(OR(O58&gt;=INPUT!$B$52,O37+O41&gt;=50000),O20,0)</f>
        <v>2</v>
      </c>
      <c r="P60" s="12" t="n">
        <f aca="false">IF(OR(P58&gt;=INPUT!$B$52,P37+P41&gt;=50000),P20,0)</f>
        <v>2</v>
      </c>
      <c r="Q60" s="12" t="n">
        <f aca="false">IF(OR(Q58&gt;=INPUT!$B$52,Q37+Q41&gt;=50000),Q20,0)</f>
        <v>2</v>
      </c>
      <c r="R60" s="12" t="n">
        <f aca="false">IF(OR(R58&gt;=INPUT!$B$52,R37+R41&gt;=50000),R20,0)</f>
        <v>2</v>
      </c>
      <c r="S60" s="12" t="n">
        <f aca="false">IF(OR(S58&gt;=INPUT!$B$52,S37+S41&gt;=50000),S20,0)</f>
        <v>2</v>
      </c>
      <c r="T60" s="12" t="n">
        <f aca="false">IF(OR(T58&gt;=INPUT!$B$52,T37+T41&gt;=50000),T20,0)</f>
        <v>2</v>
      </c>
      <c r="U60" s="12" t="n">
        <f aca="false">IF(OR(U58&gt;=INPUT!$B$52,U37+U41&gt;=50000),U20,0)</f>
        <v>2</v>
      </c>
      <c r="V60" s="12" t="n">
        <f aca="false">IF(OR(V58&gt;=INPUT!$B$52,V37+V41&gt;=50000),V20,0)</f>
        <v>2</v>
      </c>
      <c r="W60" s="12" t="n">
        <f aca="false">IF(OR(W58&gt;=INPUT!$B$52,W37+W41&gt;=50000),W20,0)</f>
        <v>2</v>
      </c>
      <c r="X60" s="12" t="n">
        <f aca="false">IF(OR(X58&gt;=INPUT!$B$52,X37+X41&gt;=50000),X20,0)</f>
        <v>2</v>
      </c>
      <c r="Y60" s="12" t="n">
        <f aca="false">IF(OR(Y58&gt;=INPUT!$B$52,Y37+Y41&gt;=50000),Y20,0)</f>
        <v>2</v>
      </c>
      <c r="Z60" s="12" t="n">
        <f aca="false">IF(OR(Z58&gt;=INPUT!$B$52,Z37+Z41&gt;=50000),Z20,0)</f>
        <v>3</v>
      </c>
      <c r="AA60" s="12" t="n">
        <f aca="false">IF(OR(AA58&gt;=INPUT!$B$52,AA37+AA41&gt;=50000),AA20,0)</f>
        <v>3</v>
      </c>
      <c r="AB60" s="12" t="n">
        <f aca="false">IF(OR(AB58&gt;=INPUT!$B$52,AB37+AB41&gt;=50000),AB20,0)</f>
        <v>3</v>
      </c>
      <c r="AC60" s="12" t="n">
        <f aca="false">IF(OR(AC58&gt;=INPUT!$B$52,AC37+AC41&gt;=50000),AC20,0)</f>
        <v>3</v>
      </c>
      <c r="AD60" s="12" t="n">
        <f aca="false">IF(OR(AD58&gt;=INPUT!$B$52,AD37+AD41&gt;=50000),AD20,0)</f>
        <v>3</v>
      </c>
      <c r="AE60" s="12" t="n">
        <f aca="false">IF(OR(AE58&gt;=INPUT!$B$52,AE37+AE41&gt;=50000),AE20,0)</f>
        <v>3</v>
      </c>
      <c r="AF60" s="12" t="n">
        <f aca="false">IF(OR(AF58&gt;=INPUT!$B$52,AF37+AF41&gt;=50000),AF20,0)</f>
        <v>3</v>
      </c>
      <c r="AG60" s="12" t="n">
        <f aca="false">IF(OR(AG58&gt;=INPUT!$B$52,AG37+AG41&gt;=50000),AG20,0)</f>
        <v>3</v>
      </c>
      <c r="AH60" s="12" t="n">
        <f aca="false">IF(OR(AH58&gt;=INPUT!$B$52,AH37+AH41&gt;=50000),AH20,0)</f>
        <v>3</v>
      </c>
      <c r="AI60" s="12" t="n">
        <f aca="false">IF(OR(AI58&gt;=INPUT!$B$52,AI37+AI41&gt;=50000),AI20,0)</f>
        <v>3</v>
      </c>
      <c r="AJ60" s="12" t="n">
        <f aca="false">IF(OR(AJ58&gt;=INPUT!$B$52,AJ37+AJ41&gt;=50000),AJ20,0)</f>
        <v>3</v>
      </c>
      <c r="AK60" s="12" t="n">
        <f aca="false">IF(OR(AK58&gt;=INPUT!$B$52,AK37+AK41&gt;=50000),AK20,0)</f>
        <v>3</v>
      </c>
      <c r="AL60" s="12" t="n">
        <f aca="false">IF(OR(AL58&gt;=INPUT!$B$52,AL37+AL41&gt;=50000),AL20,0)</f>
        <v>4</v>
      </c>
      <c r="AM60" s="12" t="n">
        <f aca="false">IF(OR(AM58&gt;=INPUT!$B$52,AM37+AM41&gt;=50000),AM20,0)</f>
        <v>4</v>
      </c>
      <c r="AN60" s="12" t="n">
        <f aca="false">IF(OR(AN58&gt;=INPUT!$B$52,AN37+AN41&gt;=50000),AN20,0)</f>
        <v>4</v>
      </c>
      <c r="AO60" s="12" t="n">
        <f aca="false">IF(OR(AO58&gt;=INPUT!$B$52,AO37+AO41&gt;=50000),AO20,0)</f>
        <v>4</v>
      </c>
      <c r="AP60" s="12" t="n">
        <f aca="false">IF(OR(AP58&gt;=INPUT!$B$52,AP37+AP41&gt;=50000),AP20,0)</f>
        <v>4</v>
      </c>
      <c r="AQ60" s="12" t="n">
        <f aca="false">IF(OR(AQ58&gt;=INPUT!$B$52,AQ37+AQ41&gt;=50000),AQ20,0)</f>
        <v>4</v>
      </c>
      <c r="AR60" s="12" t="n">
        <f aca="false">IF(OR(AR58&gt;=INPUT!$B$52,AR37+AR41&gt;=50000),AR20,0)</f>
        <v>4</v>
      </c>
      <c r="AS60" s="12" t="n">
        <f aca="false">IF(OR(AS58&gt;=INPUT!$B$52,AS37+AS41&gt;=50000),AS20,0)</f>
        <v>4</v>
      </c>
      <c r="AT60" s="12" t="n">
        <f aca="false">IF(OR(AT58&gt;=INPUT!$B$52,AT37+AT41&gt;=50000),AT20,0)</f>
        <v>4</v>
      </c>
      <c r="AU60" s="12" t="n">
        <f aca="false">IF(OR(AU58&gt;=INPUT!$B$52,AU37+AU41&gt;=50000),AU20,0)</f>
        <v>4</v>
      </c>
      <c r="AV60" s="12" t="n">
        <f aca="false">IF(OR(AV58&gt;=INPUT!$B$52,AV37+AV41&gt;=50000),AV20,0)</f>
        <v>4</v>
      </c>
      <c r="AW60" s="12" t="n">
        <f aca="false">IF(OR(AW58&gt;=INPUT!$B$52,AW37+AW41&gt;=50000),AW20,0)</f>
        <v>4</v>
      </c>
      <c r="AX60" s="12" t="n">
        <f aca="false">IF(OR(AX58&gt;=INPUT!$B$52,AX37+AX41&gt;=50000),AX20,0)</f>
        <v>5</v>
      </c>
      <c r="AY60" s="12" t="n">
        <f aca="false">IF(OR(AY58&gt;=INPUT!$B$52,AY37+AY41&gt;=50000),AY20,0)</f>
        <v>5</v>
      </c>
      <c r="AZ60" s="12" t="n">
        <f aca="false">IF(OR(AZ58&gt;=INPUT!$B$52,AZ37+AZ41&gt;=50000),AZ20,0)</f>
        <v>5</v>
      </c>
      <c r="BA60" s="12" t="n">
        <f aca="false">IF(OR(BA58&gt;=INPUT!$B$52,BA37+BA41&gt;=50000),BA20,0)</f>
        <v>5</v>
      </c>
      <c r="BB60" s="12" t="n">
        <f aca="false">IF(OR(BB58&gt;=INPUT!$B$52,BB37+BB41&gt;=50000),BB20,0)</f>
        <v>5</v>
      </c>
      <c r="BC60" s="12" t="n">
        <f aca="false">IF(OR(BC58&gt;=INPUT!$B$52,BC37+BC41&gt;=50000),BC20,0)</f>
        <v>5</v>
      </c>
      <c r="BD60" s="12" t="n">
        <f aca="false">IF(OR(BD58&gt;=INPUT!$B$52,BD37+BD41&gt;=50000),BD20,0)</f>
        <v>5</v>
      </c>
      <c r="BE60" s="12" t="n">
        <f aca="false">IF(OR(BE58&gt;=INPUT!$B$52,BE37+BE41&gt;=50000),BE20,0)</f>
        <v>5</v>
      </c>
      <c r="BF60" s="12" t="n">
        <f aca="false">IF(OR(BF58&gt;=INPUT!$B$52,BF37+BF41&gt;=50000),BF20,0)</f>
        <v>5</v>
      </c>
      <c r="BG60" s="12" t="n">
        <f aca="false">IF(OR(BG58&gt;=INPUT!$B$52,BG37+BG41&gt;=50000),BG20,0)</f>
        <v>5</v>
      </c>
      <c r="BH60" s="12" t="n">
        <f aca="false">IF(OR(BH58&gt;=INPUT!$B$52,BH37+BH41&gt;=50000),BH20,0)</f>
        <v>5</v>
      </c>
      <c r="BI60" s="12" t="n">
        <f aca="false">IF(OR(BI58&gt;=INPUT!$B$52,BI37+BI41&gt;=50000),BI20,0)</f>
        <v>5</v>
      </c>
    </row>
    <row r="61" customFormat="false" ht="15" hidden="false" customHeight="true" outlineLevel="0" collapsed="false">
      <c r="A61" s="11" t="s">
        <v>439</v>
      </c>
      <c r="B61" s="12" t="n">
        <f aca="false">IF(B59&gt;INPUT!$B$54,2,IF(B59&gt;INPUT!$B$53,1,0))</f>
        <v>0</v>
      </c>
      <c r="C61" s="12" t="n">
        <f aca="false">IF(C59&gt;INPUT!$B$54,2,IF(C59&gt;INPUT!$B$53,1,0))</f>
        <v>0</v>
      </c>
      <c r="D61" s="12" t="n">
        <f aca="false">IF(D59&gt;INPUT!$B$54,2,IF(D59&gt;INPUT!$B$53,1,0))</f>
        <v>0</v>
      </c>
      <c r="E61" s="12" t="n">
        <f aca="false">IF(E59&gt;INPUT!$B$54,2,IF(E59&gt;INPUT!$B$53,1,0))</f>
        <v>0</v>
      </c>
      <c r="F61" s="12" t="n">
        <f aca="false">IF(F59&gt;INPUT!$B$54,2,IF(F59&gt;INPUT!$B$53,1,0))</f>
        <v>0</v>
      </c>
      <c r="G61" s="12" t="n">
        <f aca="false">IF(G59&gt;INPUT!$B$54,2,IF(G59&gt;INPUT!$B$53,1,0))</f>
        <v>1</v>
      </c>
      <c r="H61" s="12" t="n">
        <f aca="false">IF(H59&gt;INPUT!$B$54,2,IF(H59&gt;INPUT!$B$53,1,0))</f>
        <v>1</v>
      </c>
      <c r="I61" s="12" t="n">
        <f aca="false">IF(I59&gt;INPUT!$B$54,2,IF(I59&gt;INPUT!$B$53,1,0))</f>
        <v>1</v>
      </c>
      <c r="J61" s="12" t="n">
        <f aca="false">IF(J59&gt;INPUT!$B$54,2,IF(J59&gt;INPUT!$B$53,1,0))</f>
        <v>1</v>
      </c>
      <c r="K61" s="12" t="n">
        <f aca="false">IF(K59&gt;INPUT!$B$54,2,IF(K59&gt;INPUT!$B$53,1,0))</f>
        <v>1</v>
      </c>
      <c r="L61" s="12" t="n">
        <f aca="false">IF(L59&gt;INPUT!$B$54,2,IF(L59&gt;INPUT!$B$53,1,0))</f>
        <v>1</v>
      </c>
      <c r="M61" s="12" t="n">
        <f aca="false">IF(M59&gt;INPUT!$B$54,2,IF(M59&gt;INPUT!$B$53,1,0))</f>
        <v>1</v>
      </c>
      <c r="N61" s="12" t="n">
        <f aca="false">IF(N59&gt;INPUT!$B$54,2,IF(N59&gt;INPUT!$B$53,1,0))</f>
        <v>1</v>
      </c>
      <c r="O61" s="12" t="n">
        <f aca="false">IF(O59&gt;INPUT!$B$54,2,IF(O59&gt;INPUT!$B$53,1,0))</f>
        <v>1</v>
      </c>
      <c r="P61" s="12" t="n">
        <f aca="false">IF(P59&gt;INPUT!$B$54,2,IF(P59&gt;INPUT!$B$53,1,0))</f>
        <v>1</v>
      </c>
      <c r="Q61" s="12" t="n">
        <f aca="false">IF(Q59&gt;INPUT!$B$54,2,IF(Q59&gt;INPUT!$B$53,1,0))</f>
        <v>1</v>
      </c>
      <c r="R61" s="12" t="n">
        <f aca="false">IF(R59&gt;INPUT!$B$54,2,IF(R59&gt;INPUT!$B$53,1,0))</f>
        <v>1</v>
      </c>
      <c r="S61" s="12" t="n">
        <f aca="false">IF(S59&gt;INPUT!$B$54,2,IF(S59&gt;INPUT!$B$53,1,0))</f>
        <v>1</v>
      </c>
      <c r="T61" s="12" t="n">
        <f aca="false">IF(T59&gt;INPUT!$B$54,2,IF(T59&gt;INPUT!$B$53,1,0))</f>
        <v>1</v>
      </c>
      <c r="U61" s="12" t="n">
        <f aca="false">IF(U59&gt;INPUT!$B$54,2,IF(U59&gt;INPUT!$B$53,1,0))</f>
        <v>1</v>
      </c>
      <c r="V61" s="12" t="n">
        <f aca="false">IF(V59&gt;INPUT!$B$54,2,IF(V59&gt;INPUT!$B$53,1,0))</f>
        <v>1</v>
      </c>
      <c r="W61" s="12" t="n">
        <f aca="false">IF(W59&gt;INPUT!$B$54,2,IF(W59&gt;INPUT!$B$53,1,0))</f>
        <v>1</v>
      </c>
      <c r="X61" s="12" t="n">
        <f aca="false">IF(X59&gt;INPUT!$B$54,2,IF(X59&gt;INPUT!$B$53,1,0))</f>
        <v>1</v>
      </c>
      <c r="Y61" s="12" t="n">
        <f aca="false">IF(Y59&gt;INPUT!$B$54,2,IF(Y59&gt;INPUT!$B$53,1,0))</f>
        <v>1</v>
      </c>
      <c r="Z61" s="12" t="n">
        <f aca="false">IF(Z59&gt;INPUT!$B$54,2,IF(Z59&gt;INPUT!$B$53,1,0))</f>
        <v>1</v>
      </c>
      <c r="AA61" s="12" t="n">
        <f aca="false">IF(AA59&gt;INPUT!$B$54,2,IF(AA59&gt;INPUT!$B$53,1,0))</f>
        <v>1</v>
      </c>
      <c r="AB61" s="12" t="n">
        <f aca="false">IF(AB59&gt;INPUT!$B$54,2,IF(AB59&gt;INPUT!$B$53,1,0))</f>
        <v>1</v>
      </c>
      <c r="AC61" s="12" t="n">
        <f aca="false">IF(AC59&gt;INPUT!$B$54,2,IF(AC59&gt;INPUT!$B$53,1,0))</f>
        <v>1</v>
      </c>
      <c r="AD61" s="12" t="n">
        <f aca="false">IF(AD59&gt;INPUT!$B$54,2,IF(AD59&gt;INPUT!$B$53,1,0))</f>
        <v>1</v>
      </c>
      <c r="AE61" s="12" t="n">
        <f aca="false">IF(AE59&gt;INPUT!$B$54,2,IF(AE59&gt;INPUT!$B$53,1,0))</f>
        <v>1</v>
      </c>
      <c r="AF61" s="12" t="n">
        <f aca="false">IF(AF59&gt;INPUT!$B$54,2,IF(AF59&gt;INPUT!$B$53,1,0))</f>
        <v>1</v>
      </c>
      <c r="AG61" s="12" t="n">
        <f aca="false">IF(AG59&gt;INPUT!$B$54,2,IF(AG59&gt;INPUT!$B$53,1,0))</f>
        <v>1</v>
      </c>
      <c r="AH61" s="12" t="n">
        <f aca="false">IF(AH59&gt;INPUT!$B$54,2,IF(AH59&gt;INPUT!$B$53,1,0))</f>
        <v>1</v>
      </c>
      <c r="AI61" s="12" t="n">
        <f aca="false">IF(AI59&gt;INPUT!$B$54,2,IF(AI59&gt;INPUT!$B$53,1,0))</f>
        <v>1</v>
      </c>
      <c r="AJ61" s="12" t="n">
        <f aca="false">IF(AJ59&gt;INPUT!$B$54,2,IF(AJ59&gt;INPUT!$B$53,1,0))</f>
        <v>1</v>
      </c>
      <c r="AK61" s="12" t="n">
        <f aca="false">IF(AK59&gt;INPUT!$B$54,2,IF(AK59&gt;INPUT!$B$53,1,0))</f>
        <v>1</v>
      </c>
      <c r="AL61" s="12" t="n">
        <f aca="false">IF(AL59&gt;INPUT!$B$54,2,IF(AL59&gt;INPUT!$B$53,1,0))</f>
        <v>2</v>
      </c>
      <c r="AM61" s="12" t="n">
        <f aca="false">IF(AM59&gt;INPUT!$B$54,2,IF(AM59&gt;INPUT!$B$53,1,0))</f>
        <v>2</v>
      </c>
      <c r="AN61" s="12" t="n">
        <f aca="false">IF(AN59&gt;INPUT!$B$54,2,IF(AN59&gt;INPUT!$B$53,1,0))</f>
        <v>2</v>
      </c>
      <c r="AO61" s="12" t="n">
        <f aca="false">IF(AO59&gt;INPUT!$B$54,2,IF(AO59&gt;INPUT!$B$53,1,0))</f>
        <v>2</v>
      </c>
      <c r="AP61" s="12" t="n">
        <f aca="false">IF(AP59&gt;INPUT!$B$54,2,IF(AP59&gt;INPUT!$B$53,1,0))</f>
        <v>2</v>
      </c>
      <c r="AQ61" s="12" t="n">
        <f aca="false">IF(AQ59&gt;INPUT!$B$54,2,IF(AQ59&gt;INPUT!$B$53,1,0))</f>
        <v>2</v>
      </c>
      <c r="AR61" s="12" t="n">
        <f aca="false">IF(AR59&gt;INPUT!$B$54,2,IF(AR59&gt;INPUT!$B$53,1,0))</f>
        <v>2</v>
      </c>
      <c r="AS61" s="12" t="n">
        <f aca="false">IF(AS59&gt;INPUT!$B$54,2,IF(AS59&gt;INPUT!$B$53,1,0))</f>
        <v>2</v>
      </c>
      <c r="AT61" s="12" t="n">
        <f aca="false">IF(AT59&gt;INPUT!$B$54,2,IF(AT59&gt;INPUT!$B$53,1,0))</f>
        <v>2</v>
      </c>
      <c r="AU61" s="12" t="n">
        <f aca="false">IF(AU59&gt;INPUT!$B$54,2,IF(AU59&gt;INPUT!$B$53,1,0))</f>
        <v>2</v>
      </c>
      <c r="AV61" s="12" t="n">
        <f aca="false">IF(AV59&gt;INPUT!$B$54,2,IF(AV59&gt;INPUT!$B$53,1,0))</f>
        <v>2</v>
      </c>
      <c r="AW61" s="12" t="n">
        <f aca="false">IF(AW59&gt;INPUT!$B$54,2,IF(AW59&gt;INPUT!$B$53,1,0))</f>
        <v>2</v>
      </c>
      <c r="AX61" s="12" t="n">
        <f aca="false">IF(AX59&gt;INPUT!$B$54,2,IF(AX59&gt;INPUT!$B$53,1,0))</f>
        <v>2</v>
      </c>
      <c r="AY61" s="12" t="n">
        <f aca="false">IF(AY59&gt;INPUT!$B$54,2,IF(AY59&gt;INPUT!$B$53,1,0))</f>
        <v>2</v>
      </c>
      <c r="AZ61" s="12" t="n">
        <f aca="false">IF(AZ59&gt;INPUT!$B$54,2,IF(AZ59&gt;INPUT!$B$53,1,0))</f>
        <v>2</v>
      </c>
      <c r="BA61" s="12" t="n">
        <f aca="false">IF(BA59&gt;INPUT!$B$54,2,IF(BA59&gt;INPUT!$B$53,1,0))</f>
        <v>2</v>
      </c>
      <c r="BB61" s="12" t="n">
        <f aca="false">IF(BB59&gt;INPUT!$B$54,2,IF(BB59&gt;INPUT!$B$53,1,0))</f>
        <v>2</v>
      </c>
      <c r="BC61" s="12" t="n">
        <f aca="false">IF(BC59&gt;INPUT!$B$54,2,IF(BC59&gt;INPUT!$B$53,1,0))</f>
        <v>2</v>
      </c>
      <c r="BD61" s="12" t="n">
        <f aca="false">IF(BD59&gt;INPUT!$B$54,2,IF(BD59&gt;INPUT!$B$53,1,0))</f>
        <v>2</v>
      </c>
      <c r="BE61" s="12" t="n">
        <f aca="false">IF(BE59&gt;INPUT!$B$54,2,IF(BE59&gt;INPUT!$B$53,1,0))</f>
        <v>2</v>
      </c>
      <c r="BF61" s="12" t="n">
        <f aca="false">IF(BF59&gt;INPUT!$B$54,2,IF(BF59&gt;INPUT!$B$53,1,0))</f>
        <v>2</v>
      </c>
      <c r="BG61" s="12" t="n">
        <f aca="false">IF(BG59&gt;INPUT!$B$54,2,IF(BG59&gt;INPUT!$B$53,1,0))</f>
        <v>2</v>
      </c>
      <c r="BH61" s="12" t="n">
        <f aca="false">IF(BH59&gt;INPUT!$B$54,2,IF(BH59&gt;INPUT!$B$53,1,0))</f>
        <v>2</v>
      </c>
      <c r="BI61" s="12" t="n">
        <f aca="false">IF(BI59&gt;INPUT!$B$54,2,IF(BI59&gt;INPUT!$B$53,1,0))</f>
        <v>2</v>
      </c>
    </row>
    <row r="62" customFormat="false" ht="15" hidden="false" customHeight="true" outlineLevel="0" collapsed="false">
      <c r="A62" s="11" t="s">
        <v>440</v>
      </c>
      <c r="B62" s="12" t="n">
        <f aca="false">IF((B$4+1)&gt;=INPUT!$B$55,2,1)</f>
        <v>1</v>
      </c>
      <c r="C62" s="12" t="n">
        <f aca="false">IF((C$4+1)&gt;=INPUT!$B$55,2,1)</f>
        <v>1</v>
      </c>
      <c r="D62" s="12" t="n">
        <f aca="false">IF((D$4+1)&gt;=INPUT!$B$55,2,1)</f>
        <v>1</v>
      </c>
      <c r="E62" s="12" t="n">
        <f aca="false">IF((E$4+1)&gt;=INPUT!$B$55,2,1)</f>
        <v>1</v>
      </c>
      <c r="F62" s="12" t="n">
        <f aca="false">IF((F$4+1)&gt;=INPUT!$B$55,2,1)</f>
        <v>1</v>
      </c>
      <c r="G62" s="12" t="n">
        <f aca="false">IF((G$4+1)&gt;=INPUT!$B$55,2,1)</f>
        <v>1</v>
      </c>
      <c r="H62" s="12" t="n">
        <f aca="false">IF((H$4+1)&gt;=INPUT!$B$55,2,1)</f>
        <v>1</v>
      </c>
      <c r="I62" s="12" t="n">
        <f aca="false">IF((I$4+1)&gt;=INPUT!$B$55,2,1)</f>
        <v>1</v>
      </c>
      <c r="J62" s="12" t="n">
        <f aca="false">IF((J$4+1)&gt;=INPUT!$B$55,2,1)</f>
        <v>1</v>
      </c>
      <c r="K62" s="12" t="n">
        <f aca="false">IF((K$4+1)&gt;=INPUT!$B$55,2,1)</f>
        <v>1</v>
      </c>
      <c r="L62" s="12" t="n">
        <f aca="false">IF((L$4+1)&gt;=INPUT!$B$55,2,1)</f>
        <v>1</v>
      </c>
      <c r="M62" s="12" t="n">
        <f aca="false">IF((M$4+1)&gt;=INPUT!$B$55,2,1)</f>
        <v>1</v>
      </c>
      <c r="N62" s="12" t="n">
        <f aca="false">IF((N$4+1)&gt;=INPUT!$B$55,2,1)</f>
        <v>1</v>
      </c>
      <c r="O62" s="12" t="n">
        <f aca="false">IF((O$4+1)&gt;=INPUT!$B$55,2,1)</f>
        <v>1</v>
      </c>
      <c r="P62" s="12" t="n">
        <f aca="false">IF((P$4+1)&gt;=INPUT!$B$55,2,1)</f>
        <v>1</v>
      </c>
      <c r="Q62" s="12" t="n">
        <f aca="false">IF((Q$4+1)&gt;=INPUT!$B$55,2,1)</f>
        <v>1</v>
      </c>
      <c r="R62" s="12" t="n">
        <f aca="false">IF((R$4+1)&gt;=INPUT!$B$55,2,1)</f>
        <v>1</v>
      </c>
      <c r="S62" s="12" t="n">
        <f aca="false">IF((S$4+1)&gt;=INPUT!$B$55,2,1)</f>
        <v>1</v>
      </c>
      <c r="T62" s="12" t="n">
        <f aca="false">IF((T$4+1)&gt;=INPUT!$B$55,2,1)</f>
        <v>1</v>
      </c>
      <c r="U62" s="12" t="n">
        <f aca="false">IF((U$4+1)&gt;=INPUT!$B$55,2,1)</f>
        <v>1</v>
      </c>
      <c r="V62" s="12" t="n">
        <f aca="false">IF((V$4+1)&gt;=INPUT!$B$55,2,1)</f>
        <v>1</v>
      </c>
      <c r="W62" s="12" t="n">
        <f aca="false">IF((W$4+1)&gt;=INPUT!$B$55,2,1)</f>
        <v>1</v>
      </c>
      <c r="X62" s="12" t="n">
        <f aca="false">IF((X$4+1)&gt;=INPUT!$B$55,2,1)</f>
        <v>1</v>
      </c>
      <c r="Y62" s="12" t="n">
        <f aca="false">IF((Y$4+1)&gt;=INPUT!$B$55,2,1)</f>
        <v>1</v>
      </c>
      <c r="Z62" s="12" t="n">
        <f aca="false">IF((Z$4+1)&gt;=INPUT!$B$55,2,1)</f>
        <v>2</v>
      </c>
      <c r="AA62" s="12" t="n">
        <f aca="false">IF((AA$4+1)&gt;=INPUT!$B$55,2,1)</f>
        <v>2</v>
      </c>
      <c r="AB62" s="12" t="n">
        <f aca="false">IF((AB$4+1)&gt;=INPUT!$B$55,2,1)</f>
        <v>2</v>
      </c>
      <c r="AC62" s="12" t="n">
        <f aca="false">IF((AC$4+1)&gt;=INPUT!$B$55,2,1)</f>
        <v>2</v>
      </c>
      <c r="AD62" s="12" t="n">
        <f aca="false">IF((AD$4+1)&gt;=INPUT!$B$55,2,1)</f>
        <v>2</v>
      </c>
      <c r="AE62" s="12" t="n">
        <f aca="false">IF((AE$4+1)&gt;=INPUT!$B$55,2,1)</f>
        <v>2</v>
      </c>
      <c r="AF62" s="12" t="n">
        <f aca="false">IF((AF$4+1)&gt;=INPUT!$B$55,2,1)</f>
        <v>2</v>
      </c>
      <c r="AG62" s="12" t="n">
        <f aca="false">IF((AG$4+1)&gt;=INPUT!$B$55,2,1)</f>
        <v>2</v>
      </c>
      <c r="AH62" s="12" t="n">
        <f aca="false">IF((AH$4+1)&gt;=INPUT!$B$55,2,1)</f>
        <v>2</v>
      </c>
      <c r="AI62" s="12" t="n">
        <f aca="false">IF((AI$4+1)&gt;=INPUT!$B$55,2,1)</f>
        <v>2</v>
      </c>
      <c r="AJ62" s="12" t="n">
        <f aca="false">IF((AJ$4+1)&gt;=INPUT!$B$55,2,1)</f>
        <v>2</v>
      </c>
      <c r="AK62" s="12" t="n">
        <f aca="false">IF((AK$4+1)&gt;=INPUT!$B$55,2,1)</f>
        <v>2</v>
      </c>
      <c r="AL62" s="12" t="n">
        <f aca="false">IF((AL$4+1)&gt;=INPUT!$B$55,2,1)</f>
        <v>2</v>
      </c>
      <c r="AM62" s="12" t="n">
        <f aca="false">IF((AM$4+1)&gt;=INPUT!$B$55,2,1)</f>
        <v>2</v>
      </c>
      <c r="AN62" s="12" t="n">
        <f aca="false">IF((AN$4+1)&gt;=INPUT!$B$55,2,1)</f>
        <v>2</v>
      </c>
      <c r="AO62" s="12" t="n">
        <f aca="false">IF((AO$4+1)&gt;=INPUT!$B$55,2,1)</f>
        <v>2</v>
      </c>
      <c r="AP62" s="12" t="n">
        <f aca="false">IF((AP$4+1)&gt;=INPUT!$B$55,2,1)</f>
        <v>2</v>
      </c>
      <c r="AQ62" s="12" t="n">
        <f aca="false">IF((AQ$4+1)&gt;=INPUT!$B$55,2,1)</f>
        <v>2</v>
      </c>
      <c r="AR62" s="12" t="n">
        <f aca="false">IF((AR$4+1)&gt;=INPUT!$B$55,2,1)</f>
        <v>2</v>
      </c>
      <c r="AS62" s="12" t="n">
        <f aca="false">IF((AS$4+1)&gt;=INPUT!$B$55,2,1)</f>
        <v>2</v>
      </c>
      <c r="AT62" s="12" t="n">
        <f aca="false">IF((AT$4+1)&gt;=INPUT!$B$55,2,1)</f>
        <v>2</v>
      </c>
      <c r="AU62" s="12" t="n">
        <f aca="false">IF((AU$4+1)&gt;=INPUT!$B$55,2,1)</f>
        <v>2</v>
      </c>
      <c r="AV62" s="12" t="n">
        <f aca="false">IF((AV$4+1)&gt;=INPUT!$B$55,2,1)</f>
        <v>2</v>
      </c>
      <c r="AW62" s="12" t="n">
        <f aca="false">IF((AW$4+1)&gt;=INPUT!$B$55,2,1)</f>
        <v>2</v>
      </c>
      <c r="AX62" s="12" t="n">
        <f aca="false">IF((AX$4+1)&gt;=INPUT!$B$55,2,1)</f>
        <v>2</v>
      </c>
      <c r="AY62" s="12" t="n">
        <f aca="false">IF((AY$4+1)&gt;=INPUT!$B$55,2,1)</f>
        <v>2</v>
      </c>
      <c r="AZ62" s="12" t="n">
        <f aca="false">IF((AZ$4+1)&gt;=INPUT!$B$55,2,1)</f>
        <v>2</v>
      </c>
      <c r="BA62" s="12" t="n">
        <f aca="false">IF((BA$4+1)&gt;=INPUT!$B$55,2,1)</f>
        <v>2</v>
      </c>
      <c r="BB62" s="12" t="n">
        <f aca="false">IF((BB$4+1)&gt;=INPUT!$B$55,2,1)</f>
        <v>2</v>
      </c>
      <c r="BC62" s="12" t="n">
        <f aca="false">IF((BC$4+1)&gt;=INPUT!$B$55,2,1)</f>
        <v>2</v>
      </c>
      <c r="BD62" s="12" t="n">
        <f aca="false">IF((BD$4+1)&gt;=INPUT!$B$55,2,1)</f>
        <v>2</v>
      </c>
      <c r="BE62" s="12" t="n">
        <f aca="false">IF((BE$4+1)&gt;=INPUT!$B$55,2,1)</f>
        <v>2</v>
      </c>
      <c r="BF62" s="12" t="n">
        <f aca="false">IF((BF$4+1)&gt;=INPUT!$B$55,2,1)</f>
        <v>2</v>
      </c>
      <c r="BG62" s="12" t="n">
        <f aca="false">IF((BG$4+1)&gt;=INPUT!$B$55,2,1)</f>
        <v>2</v>
      </c>
      <c r="BH62" s="12" t="n">
        <f aca="false">IF((BH$4+1)&gt;=INPUT!$B$55,2,1)</f>
        <v>2</v>
      </c>
      <c r="BI62" s="12" t="n">
        <f aca="false">IF((BI$4+1)&gt;=INPUT!$B$55,2,1)</f>
        <v>2</v>
      </c>
    </row>
    <row r="63" customFormat="false" ht="15" hidden="false" customHeight="true" outlineLevel="0" collapsed="false">
      <c r="A63" s="11" t="s">
        <v>441</v>
      </c>
      <c r="B63" s="12" t="n">
        <f aca="false">IF(B$4&gt;=1,B47*INPUT!$B$56,0)</f>
        <v>0</v>
      </c>
      <c r="C63" s="12" t="n">
        <f aca="false">IF(C$4&gt;=1,C47*INPUT!$B$56,0)</f>
        <v>0</v>
      </c>
      <c r="D63" s="12" t="n">
        <f aca="false">IF(D$4&gt;=1,D47*INPUT!$B$56,0)</f>
        <v>0</v>
      </c>
      <c r="E63" s="12" t="n">
        <f aca="false">IF(E$4&gt;=1,E47*INPUT!$B$56,0)</f>
        <v>0</v>
      </c>
      <c r="F63" s="12" t="n">
        <f aca="false">IF(F$4&gt;=1,F47*INPUT!$B$56,0)</f>
        <v>0</v>
      </c>
      <c r="G63" s="12" t="n">
        <f aca="false">IF(G$4&gt;=1,G47*INPUT!$B$56,0)</f>
        <v>0</v>
      </c>
      <c r="H63" s="12" t="n">
        <f aca="false">IF(H$4&gt;=1,H47*INPUT!$B$56,0)</f>
        <v>0</v>
      </c>
      <c r="I63" s="12" t="n">
        <f aca="false">IF(I$4&gt;=1,I47*INPUT!$B$56,0)</f>
        <v>0</v>
      </c>
      <c r="J63" s="12" t="n">
        <f aca="false">IF(J$4&gt;=1,J47*INPUT!$B$56,0)</f>
        <v>0</v>
      </c>
      <c r="K63" s="12" t="n">
        <f aca="false">IF(K$4&gt;=1,K47*INPUT!$B$56,0)</f>
        <v>0</v>
      </c>
      <c r="L63" s="12" t="n">
        <f aca="false">IF(L$4&gt;=1,L47*INPUT!$B$56,0)</f>
        <v>0</v>
      </c>
      <c r="M63" s="12" t="n">
        <f aca="false">IF(M$4&gt;=1,M47*INPUT!$B$56,0)</f>
        <v>0</v>
      </c>
      <c r="N63" s="12" t="n">
        <f aca="false">IF(N$4&gt;=1,N47*INPUT!$B$56,0)</f>
        <v>3443.14540684499</v>
      </c>
      <c r="O63" s="12" t="n">
        <f aca="false">IF(O$4&gt;=1,O47*INPUT!$B$56,0)</f>
        <v>3838.36653499685</v>
      </c>
      <c r="P63" s="12" t="n">
        <f aca="false">IF(P$4&gt;=1,P47*INPUT!$B$56,0)</f>
        <v>4216.5623014744</v>
      </c>
      <c r="Q63" s="12" t="n">
        <f aca="false">IF(Q$4&gt;=1,Q47*INPUT!$B$56,0)</f>
        <v>4579.5311243246</v>
      </c>
      <c r="R63" s="12" t="n">
        <f aca="false">IF(R$4&gt;=1,R47*INPUT!$B$56,0)</f>
        <v>4928.86172706262</v>
      </c>
      <c r="S63" s="12" t="n">
        <f aca="false">IF(S$4&gt;=1,S47*INPUT!$B$56,0)</f>
        <v>5265.9581491248</v>
      </c>
      <c r="T63" s="12" t="n">
        <f aca="false">IF(T$4&gt;=1,T47*INPUT!$B$56,0)</f>
        <v>5592.06175888957</v>
      </c>
      <c r="U63" s="12" t="n">
        <f aca="false">IF(U$4&gt;=1,U47*INPUT!$B$56,0)</f>
        <v>5908.27062886251</v>
      </c>
      <c r="V63" s="12" t="n">
        <f aca="false">IF(V$4&gt;=1,V47*INPUT!$B$56,0)</f>
        <v>6215.55658947276</v>
      </c>
      <c r="W63" s="12" t="n">
        <f aca="false">IF(W$4&gt;=1,W47*INPUT!$B$56,0)</f>
        <v>6514.78023995665</v>
      </c>
      <c r="X63" s="12" t="n">
        <f aca="false">IF(X$4&gt;=1,X47*INPUT!$B$56,0)</f>
        <v>6806.70416138929</v>
      </c>
      <c r="Y63" s="12" t="n">
        <f aca="false">IF(Y$4&gt;=1,Y47*INPUT!$B$56,0)</f>
        <v>7092.0045475203</v>
      </c>
      <c r="Z63" s="12" t="n">
        <f aca="false">IF(Z$4&gt;=1,Z47*INPUT!$B$56,0)</f>
        <v>7836.72206088756</v>
      </c>
      <c r="AA63" s="12" t="n">
        <f aca="false">IF(AA$4&gt;=1,AA47*INPUT!$B$56,0)</f>
        <v>8302.19499902006</v>
      </c>
      <c r="AB63" s="12" t="n">
        <f aca="false">IF(AB$4&gt;=1,AB47*INPUT!$B$56,0)</f>
        <v>8747.75589060356</v>
      </c>
      <c r="AC63" s="12" t="n">
        <f aca="false">IF(AC$4&gt;=1,AC47*INPUT!$B$56,0)</f>
        <v>9175.46045547668</v>
      </c>
      <c r="AD63" s="12" t="n">
        <f aca="false">IF(AD$4&gt;=1,AD47*INPUT!$B$56,0)</f>
        <v>9587.12607024108</v>
      </c>
      <c r="AE63" s="12" t="n">
        <f aca="false">IF(AE$4&gt;=1,AE47*INPUT!$B$56,0)</f>
        <v>9984.36016087133</v>
      </c>
      <c r="AF63" s="12" t="n">
        <f aca="false">IF(AF$4&gt;=1,AF47*INPUT!$B$56,0)</f>
        <v>10368.585193426</v>
      </c>
      <c r="AG63" s="12" t="n">
        <f aca="false">IF(AG$4&gt;=1,AG47*INPUT!$B$56,0)</f>
        <v>10741.0606709575</v>
      </c>
      <c r="AH63" s="12" t="n">
        <f aca="false">IF(AH$4&gt;=1,AH47*INPUT!$B$56,0)</f>
        <v>11102.90249575</v>
      </c>
      <c r="AI63" s="12" t="n">
        <f aca="false">IF(AI$4&gt;=1,AI47*INPUT!$B$56,0)</f>
        <v>11455.1000129215</v>
      </c>
      <c r="AJ63" s="12" t="n">
        <f aca="false">IF(AJ$4&gt;=1,AJ47*INPUT!$B$56,0)</f>
        <v>11798.531013506</v>
      </c>
      <c r="AK63" s="12" t="n">
        <f aca="false">IF(AK$4&gt;=1,AK47*INPUT!$B$56,0)</f>
        <v>12133.9749417606</v>
      </c>
      <c r="AL63" s="12" t="n">
        <f aca="false">IF(AL$4&gt;=1,AL47*INPUT!$B$56,0)</f>
        <v>13666.2518210257</v>
      </c>
      <c r="AM63" s="12" t="n">
        <f aca="false">IF(AM$4&gt;=1,AM47*INPUT!$B$56,0)</f>
        <v>14265.9031868598</v>
      </c>
      <c r="AN63" s="12" t="n">
        <f aca="false">IF(AN$4&gt;=1,AN47*INPUT!$B$56,0)</f>
        <v>14836.271217001</v>
      </c>
      <c r="AO63" s="12" t="n">
        <f aca="false">IF(AO$4&gt;=1,AO47*INPUT!$B$56,0)</f>
        <v>15380.3926553171</v>
      </c>
      <c r="AP63" s="12" t="n">
        <f aca="false">IF(AP$4&gt;=1,AP47*INPUT!$B$56,0)</f>
        <v>15900.951767822</v>
      </c>
      <c r="AQ63" s="12" t="n">
        <f aca="false">IF(AQ$4&gt;=1,AQ47*INPUT!$B$56,0)</f>
        <v>16400.3223417332</v>
      </c>
      <c r="AR63" s="12" t="n">
        <f aca="false">IF(AR$4&gt;=1,AR47*INPUT!$B$56,0)</f>
        <v>16880.6046520991</v>
      </c>
      <c r="AS63" s="12" t="n">
        <f aca="false">IF(AS$4&gt;=1,AS47*INPUT!$B$56,0)</f>
        <v>17343.6579997017</v>
      </c>
      <c r="AT63" s="12" t="n">
        <f aca="false">IF(AT$4&gt;=1,AT47*INPUT!$B$56,0)</f>
        <v>17791.1293515004</v>
      </c>
      <c r="AU63" s="12" t="n">
        <f aca="false">IF(AU$4&gt;=1,AU47*INPUT!$B$56,0)</f>
        <v>18224.4785511338</v>
      </c>
      <c r="AV63" s="12" t="n">
        <f aca="false">IF(AV$4&gt;=1,AV47*INPUT!$B$56,0)</f>
        <v>18645.0005109001</v>
      </c>
      <c r="AW63" s="12" t="n">
        <f aca="false">IF(AW$4&gt;=1,AW47*INPUT!$B$56,0)</f>
        <v>19053.844747271</v>
      </c>
      <c r="AX63" s="12" t="n">
        <f aca="false">IF(AX$4&gt;=1,AX47*INPUT!$B$56,0)</f>
        <v>20896.1259898256</v>
      </c>
      <c r="AY63" s="12" t="n">
        <f aca="false">IF(AY$4&gt;=1,AY47*INPUT!$B$56,0)</f>
        <v>21568.0207656369</v>
      </c>
      <c r="AZ63" s="12" t="n">
        <f aca="false">IF(AZ$4&gt;=1,AZ47*INPUT!$B$56,0)</f>
        <v>22209.0160757588</v>
      </c>
      <c r="BA63" s="12" t="n">
        <f aca="false">IF(BA$4&gt;=1,BA47*INPUT!$B$56,0)</f>
        <v>22822.2428608888</v>
      </c>
      <c r="BB63" s="12" t="n">
        <f aca="false">IF(BB$4&gt;=1,BB47*INPUT!$B$56,0)</f>
        <v>23410.4707737205</v>
      </c>
      <c r="BC63" s="12" t="n">
        <f aca="false">IF(BC$4&gt;=1,BC47*INPUT!$B$56,0)</f>
        <v>23976.1511728816</v>
      </c>
      <c r="BD63" s="12" t="n">
        <f aca="false">IF(BD$4&gt;=1,BD47*INPUT!$B$56,0)</f>
        <v>24521.4549666159</v>
      </c>
      <c r="BE63" s="12" t="n">
        <f aca="false">IF(BE$4&gt;=1,BE47*INPUT!$B$56,0)</f>
        <v>25048.3059240128</v>
      </c>
      <c r="BF63" s="12" t="n">
        <f aca="false">IF(BF$4&gt;=1,BF47*INPUT!$B$56,0)</f>
        <v>25558.4099974601</v>
      </c>
      <c r="BG63" s="12" t="n">
        <f aca="false">IF(BG$4&gt;=1,BG47*INPUT!$B$56,0)</f>
        <v>26053.2811347582</v>
      </c>
      <c r="BH63" s="12" t="n">
        <f aca="false">IF(BH$4&gt;=1,BH47*INPUT!$B$56,0)</f>
        <v>26534.2640019284</v>
      </c>
      <c r="BI63" s="12" t="n">
        <f aca="false">IF(BI$4&gt;=1,BI47*INPUT!$B$56,0)</f>
        <v>27002.5539872274</v>
      </c>
    </row>
    <row r="64" customFormat="false" ht="15" hidden="false" customHeight="true" outlineLevel="0" collapsed="false">
      <c r="A64" s="11" t="s">
        <v>442</v>
      </c>
      <c r="B64" s="12" t="n">
        <f aca="false">(INPUT!$B$47+B62*INPUT!$B$48+B61*INPUT!$B$49+B60*INPUT!$B$50)/12+B63</f>
        <v>10500</v>
      </c>
      <c r="C64" s="12" t="n">
        <f aca="false">(INPUT!$B$47+C62*INPUT!$B$48+C61*INPUT!$B$49+C60*INPUT!$B$50)/12+C63</f>
        <v>17583.3333333333</v>
      </c>
      <c r="D64" s="12" t="n">
        <f aca="false">(INPUT!$B$47+D62*INPUT!$B$48+D61*INPUT!$B$49+D60*INPUT!$B$50)/12+D63</f>
        <v>17583.3333333333</v>
      </c>
      <c r="E64" s="12" t="n">
        <f aca="false">(INPUT!$B$47+E62*INPUT!$B$48+E61*INPUT!$B$49+E60*INPUT!$B$50)/12+E63</f>
        <v>17583.3333333333</v>
      </c>
      <c r="F64" s="12" t="n">
        <f aca="false">(INPUT!$B$47+F62*INPUT!$B$48+F61*INPUT!$B$49+F60*INPUT!$B$50)/12+F63</f>
        <v>17583.3333333333</v>
      </c>
      <c r="G64" s="12" t="n">
        <f aca="false">(INPUT!$B$47+G62*INPUT!$B$48+G61*INPUT!$B$49+G60*INPUT!$B$50)/12+G63</f>
        <v>22166.6666666667</v>
      </c>
      <c r="H64" s="12" t="n">
        <f aca="false">(INPUT!$B$47+H62*INPUT!$B$48+H61*INPUT!$B$49+H60*INPUT!$B$50)/12+H63</f>
        <v>22166.6666666667</v>
      </c>
      <c r="I64" s="12" t="n">
        <f aca="false">(INPUT!$B$47+I62*INPUT!$B$48+I61*INPUT!$B$49+I60*INPUT!$B$50)/12+I63</f>
        <v>22166.6666666667</v>
      </c>
      <c r="J64" s="12" t="n">
        <f aca="false">(INPUT!$B$47+J62*INPUT!$B$48+J61*INPUT!$B$49+J60*INPUT!$B$50)/12+J63</f>
        <v>22166.6666666667</v>
      </c>
      <c r="K64" s="12" t="n">
        <f aca="false">(INPUT!$B$47+K62*INPUT!$B$48+K61*INPUT!$B$49+K60*INPUT!$B$50)/12+K63</f>
        <v>22166.6666666667</v>
      </c>
      <c r="L64" s="12" t="n">
        <f aca="false">(INPUT!$B$47+L62*INPUT!$B$48+L61*INPUT!$B$49+L60*INPUT!$B$50)/12+L63</f>
        <v>22166.6666666667</v>
      </c>
      <c r="M64" s="12" t="n">
        <f aca="false">(INPUT!$B$47+M62*INPUT!$B$48+M61*INPUT!$B$49+M60*INPUT!$B$50)/12+M63</f>
        <v>22166.6666666667</v>
      </c>
      <c r="N64" s="12" t="n">
        <f aca="false">(INPUT!$B$47+N62*INPUT!$B$48+N61*INPUT!$B$49+N60*INPUT!$B$50)/12+N63</f>
        <v>32693.145406845</v>
      </c>
      <c r="O64" s="12" t="n">
        <f aca="false">(INPUT!$B$47+O62*INPUT!$B$48+O61*INPUT!$B$49+O60*INPUT!$B$50)/12+O63</f>
        <v>33088.3665349968</v>
      </c>
      <c r="P64" s="12" t="n">
        <f aca="false">(INPUT!$B$47+P62*INPUT!$B$48+P61*INPUT!$B$49+P60*INPUT!$B$50)/12+P63</f>
        <v>33466.5623014744</v>
      </c>
      <c r="Q64" s="12" t="n">
        <f aca="false">(INPUT!$B$47+Q62*INPUT!$B$48+Q61*INPUT!$B$49+Q60*INPUT!$B$50)/12+Q63</f>
        <v>33829.5311243246</v>
      </c>
      <c r="R64" s="12" t="n">
        <f aca="false">(INPUT!$B$47+R62*INPUT!$B$48+R61*INPUT!$B$49+R60*INPUT!$B$50)/12+R63</f>
        <v>34178.8617270626</v>
      </c>
      <c r="S64" s="12" t="n">
        <f aca="false">(INPUT!$B$47+S62*INPUT!$B$48+S61*INPUT!$B$49+S60*INPUT!$B$50)/12+S63</f>
        <v>34515.9581491248</v>
      </c>
      <c r="T64" s="12" t="n">
        <f aca="false">(INPUT!$B$47+T62*INPUT!$B$48+T61*INPUT!$B$49+T60*INPUT!$B$50)/12+T63</f>
        <v>34842.0617588896</v>
      </c>
      <c r="U64" s="12" t="n">
        <f aca="false">(INPUT!$B$47+U62*INPUT!$B$48+U61*INPUT!$B$49+U60*INPUT!$B$50)/12+U63</f>
        <v>35158.2706288625</v>
      </c>
      <c r="V64" s="12" t="n">
        <f aca="false">(INPUT!$B$47+V62*INPUT!$B$48+V61*INPUT!$B$49+V60*INPUT!$B$50)/12+V63</f>
        <v>35465.5565894728</v>
      </c>
      <c r="W64" s="12" t="n">
        <f aca="false">(INPUT!$B$47+W62*INPUT!$B$48+W61*INPUT!$B$49+W60*INPUT!$B$50)/12+W63</f>
        <v>35764.7802399567</v>
      </c>
      <c r="X64" s="12" t="n">
        <f aca="false">(INPUT!$B$47+X62*INPUT!$B$48+X61*INPUT!$B$49+X60*INPUT!$B$50)/12+X63</f>
        <v>36056.7041613893</v>
      </c>
      <c r="Y64" s="12" t="n">
        <f aca="false">(INPUT!$B$47+Y62*INPUT!$B$48+Y61*INPUT!$B$49+Y60*INPUT!$B$50)/12+Y63</f>
        <v>36342.0045475203</v>
      </c>
      <c r="Z64" s="12" t="n">
        <f aca="false">(INPUT!$B$47+Z62*INPUT!$B$48+Z61*INPUT!$B$49+Z60*INPUT!$B$50)/12+Z63</f>
        <v>50170.0553942209</v>
      </c>
      <c r="AA64" s="12" t="n">
        <f aca="false">(INPUT!$B$47+AA62*INPUT!$B$48+AA61*INPUT!$B$49+AA60*INPUT!$B$50)/12+AA63</f>
        <v>50635.5283323534</v>
      </c>
      <c r="AB64" s="12" t="n">
        <f aca="false">(INPUT!$B$47+AB62*INPUT!$B$48+AB61*INPUT!$B$49+AB60*INPUT!$B$50)/12+AB63</f>
        <v>51081.0892239369</v>
      </c>
      <c r="AC64" s="12" t="n">
        <f aca="false">(INPUT!$B$47+AC62*INPUT!$B$48+AC61*INPUT!$B$49+AC60*INPUT!$B$50)/12+AC63</f>
        <v>51508.79378881</v>
      </c>
      <c r="AD64" s="12" t="n">
        <f aca="false">(INPUT!$B$47+AD62*INPUT!$B$48+AD61*INPUT!$B$49+AD60*INPUT!$B$50)/12+AD63</f>
        <v>51920.4594035744</v>
      </c>
      <c r="AE64" s="12" t="n">
        <f aca="false">(INPUT!$B$47+AE62*INPUT!$B$48+AE61*INPUT!$B$49+AE60*INPUT!$B$50)/12+AE63</f>
        <v>52317.6934942047</v>
      </c>
      <c r="AF64" s="12" t="n">
        <f aca="false">(INPUT!$B$47+AF62*INPUT!$B$48+AF61*INPUT!$B$49+AF60*INPUT!$B$50)/12+AF63</f>
        <v>52701.9185267593</v>
      </c>
      <c r="AG64" s="12" t="n">
        <f aca="false">(INPUT!$B$47+AG62*INPUT!$B$48+AG61*INPUT!$B$49+AG60*INPUT!$B$50)/12+AG63</f>
        <v>53074.3940042909</v>
      </c>
      <c r="AH64" s="12" t="n">
        <f aca="false">(INPUT!$B$47+AH62*INPUT!$B$48+AH61*INPUT!$B$49+AH60*INPUT!$B$50)/12+AH63</f>
        <v>53436.2358290834</v>
      </c>
      <c r="AI64" s="12" t="n">
        <f aca="false">(INPUT!$B$47+AI62*INPUT!$B$48+AI61*INPUT!$B$49+AI60*INPUT!$B$50)/12+AI63</f>
        <v>53788.4333462548</v>
      </c>
      <c r="AJ64" s="12" t="n">
        <f aca="false">(INPUT!$B$47+AJ62*INPUT!$B$48+AJ61*INPUT!$B$49+AJ60*INPUT!$B$50)/12+AJ63</f>
        <v>54131.8643468393</v>
      </c>
      <c r="AK64" s="12" t="n">
        <f aca="false">(INPUT!$B$47+AK62*INPUT!$B$48+AK61*INPUT!$B$49+AK60*INPUT!$B$50)/12+AK63</f>
        <v>54467.3082750939</v>
      </c>
      <c r="AL64" s="12" t="n">
        <f aca="false">(INPUT!$B$47+AL62*INPUT!$B$48+AL61*INPUT!$B$49+AL60*INPUT!$B$50)/12+AL63</f>
        <v>67666.2518210257</v>
      </c>
      <c r="AM64" s="12" t="n">
        <f aca="false">(INPUT!$B$47+AM62*INPUT!$B$48+AM61*INPUT!$B$49+AM60*INPUT!$B$50)/12+AM63</f>
        <v>68265.9031868598</v>
      </c>
      <c r="AN64" s="12" t="n">
        <f aca="false">(INPUT!$B$47+AN62*INPUT!$B$48+AN61*INPUT!$B$49+AN60*INPUT!$B$50)/12+AN63</f>
        <v>68836.271217001</v>
      </c>
      <c r="AO64" s="12" t="n">
        <f aca="false">(INPUT!$B$47+AO62*INPUT!$B$48+AO61*INPUT!$B$49+AO60*INPUT!$B$50)/12+AO63</f>
        <v>69380.3926553171</v>
      </c>
      <c r="AP64" s="12" t="n">
        <f aca="false">(INPUT!$B$47+AP62*INPUT!$B$48+AP61*INPUT!$B$49+AP60*INPUT!$B$50)/12+AP63</f>
        <v>69900.951767822</v>
      </c>
      <c r="AQ64" s="12" t="n">
        <f aca="false">(INPUT!$B$47+AQ62*INPUT!$B$48+AQ61*INPUT!$B$49+AQ60*INPUT!$B$50)/12+AQ63</f>
        <v>70400.3223417332</v>
      </c>
      <c r="AR64" s="12" t="n">
        <f aca="false">(INPUT!$B$47+AR62*INPUT!$B$48+AR61*INPUT!$B$49+AR60*INPUT!$B$50)/12+AR63</f>
        <v>70880.6046520991</v>
      </c>
      <c r="AS64" s="12" t="n">
        <f aca="false">(INPUT!$B$47+AS62*INPUT!$B$48+AS61*INPUT!$B$49+AS60*INPUT!$B$50)/12+AS63</f>
        <v>71343.6579997017</v>
      </c>
      <c r="AT64" s="12" t="n">
        <f aca="false">(INPUT!$B$47+AT62*INPUT!$B$48+AT61*INPUT!$B$49+AT60*INPUT!$B$50)/12+AT63</f>
        <v>71791.1293515004</v>
      </c>
      <c r="AU64" s="12" t="n">
        <f aca="false">(INPUT!$B$47+AU62*INPUT!$B$48+AU61*INPUT!$B$49+AU60*INPUT!$B$50)/12+AU63</f>
        <v>72224.4785511338</v>
      </c>
      <c r="AV64" s="12" t="n">
        <f aca="false">(INPUT!$B$47+AV62*INPUT!$B$48+AV61*INPUT!$B$49+AV60*INPUT!$B$50)/12+AV63</f>
        <v>72645.0005109001</v>
      </c>
      <c r="AW64" s="12" t="n">
        <f aca="false">(INPUT!$B$47+AW62*INPUT!$B$48+AW61*INPUT!$B$49+AW60*INPUT!$B$50)/12+AW63</f>
        <v>73053.844747271</v>
      </c>
      <c r="AX64" s="12" t="n">
        <f aca="false">(INPUT!$B$47+AX62*INPUT!$B$48+AX61*INPUT!$B$49+AX60*INPUT!$B$50)/12+AX63</f>
        <v>81979.4593231589</v>
      </c>
      <c r="AY64" s="12" t="n">
        <f aca="false">(INPUT!$B$47+AY62*INPUT!$B$48+AY61*INPUT!$B$49+AY60*INPUT!$B$50)/12+AY63</f>
        <v>82651.3540989702</v>
      </c>
      <c r="AZ64" s="12" t="n">
        <f aca="false">(INPUT!$B$47+AZ62*INPUT!$B$48+AZ61*INPUT!$B$49+AZ60*INPUT!$B$50)/12+AZ63</f>
        <v>83292.3494090921</v>
      </c>
      <c r="BA64" s="12" t="n">
        <f aca="false">(INPUT!$B$47+BA62*INPUT!$B$48+BA61*INPUT!$B$49+BA60*INPUT!$B$50)/12+BA63</f>
        <v>83905.5761942222</v>
      </c>
      <c r="BB64" s="12" t="n">
        <f aca="false">(INPUT!$B$47+BB62*INPUT!$B$48+BB61*INPUT!$B$49+BB60*INPUT!$B$50)/12+BB63</f>
        <v>84493.8041070538</v>
      </c>
      <c r="BC64" s="12" t="n">
        <f aca="false">(INPUT!$B$47+BC62*INPUT!$B$48+BC61*INPUT!$B$49+BC60*INPUT!$B$50)/12+BC63</f>
        <v>85059.4845062149</v>
      </c>
      <c r="BD64" s="12" t="n">
        <f aca="false">(INPUT!$B$47+BD62*INPUT!$B$48+BD61*INPUT!$B$49+BD60*INPUT!$B$50)/12+BD63</f>
        <v>85604.7882999493</v>
      </c>
      <c r="BE64" s="12" t="n">
        <f aca="false">(INPUT!$B$47+BE62*INPUT!$B$48+BE61*INPUT!$B$49+BE60*INPUT!$B$50)/12+BE63</f>
        <v>86131.6392573462</v>
      </c>
      <c r="BF64" s="12" t="n">
        <f aca="false">(INPUT!$B$47+BF62*INPUT!$B$48+BF61*INPUT!$B$49+BF60*INPUT!$B$50)/12+BF63</f>
        <v>86641.7433307934</v>
      </c>
      <c r="BG64" s="12" t="n">
        <f aca="false">(INPUT!$B$47+BG62*INPUT!$B$48+BG61*INPUT!$B$49+BG60*INPUT!$B$50)/12+BG63</f>
        <v>87136.6144680915</v>
      </c>
      <c r="BH64" s="12" t="n">
        <f aca="false">(INPUT!$B$47+BH62*INPUT!$B$48+BH61*INPUT!$B$49+BH60*INPUT!$B$50)/12+BH63</f>
        <v>87617.5973352617</v>
      </c>
      <c r="BI64" s="12" t="n">
        <f aca="false">(INPUT!$B$47+BI62*INPUT!$B$48+BI61*INPUT!$B$49+BI60*INPUT!$B$50)/12+BI63</f>
        <v>88085.8873205607</v>
      </c>
    </row>
    <row r="65" customFormat="false" ht="15" hidden="false" customHeight="true" outlineLevel="0" collapsed="false">
      <c r="A65" s="11" t="s">
        <v>443</v>
      </c>
      <c r="B65" s="12" t="n">
        <f aca="false">INDEX(INPUT!$B$26:$F$26,1,B$4+1)/12</f>
        <v>7666.66666666667</v>
      </c>
      <c r="C65" s="12" t="n">
        <f aca="false">INDEX(INPUT!$B$26:$F$26,1,C$4+1)/12</f>
        <v>7666.66666666667</v>
      </c>
      <c r="D65" s="12" t="n">
        <f aca="false">INDEX(INPUT!$B$26:$F$26,1,D$4+1)/12</f>
        <v>7666.66666666667</v>
      </c>
      <c r="E65" s="12" t="n">
        <f aca="false">INDEX(INPUT!$B$26:$F$26,1,E$4+1)/12</f>
        <v>7666.66666666667</v>
      </c>
      <c r="F65" s="12" t="n">
        <f aca="false">INDEX(INPUT!$B$26:$F$26,1,F$4+1)/12</f>
        <v>7666.66666666667</v>
      </c>
      <c r="G65" s="12" t="n">
        <f aca="false">INDEX(INPUT!$B$26:$F$26,1,G$4+1)/12</f>
        <v>7666.66666666667</v>
      </c>
      <c r="H65" s="12" t="n">
        <f aca="false">INDEX(INPUT!$B$26:$F$26,1,H$4+1)/12</f>
        <v>7666.66666666667</v>
      </c>
      <c r="I65" s="12" t="n">
        <f aca="false">INDEX(INPUT!$B$26:$F$26,1,I$4+1)/12</f>
        <v>7666.66666666667</v>
      </c>
      <c r="J65" s="12" t="n">
        <f aca="false">INDEX(INPUT!$B$26:$F$26,1,J$4+1)/12</f>
        <v>7666.66666666667</v>
      </c>
      <c r="K65" s="12" t="n">
        <f aca="false">INDEX(INPUT!$B$26:$F$26,1,K$4+1)/12</f>
        <v>7666.66666666667</v>
      </c>
      <c r="L65" s="12" t="n">
        <f aca="false">INDEX(INPUT!$B$26:$F$26,1,L$4+1)/12</f>
        <v>7666.66666666667</v>
      </c>
      <c r="M65" s="12" t="n">
        <f aca="false">INDEX(INPUT!$B$26:$F$26,1,M$4+1)/12</f>
        <v>7666.66666666667</v>
      </c>
      <c r="N65" s="12" t="n">
        <f aca="false">INDEX(INPUT!$B$26:$F$26,1,N$4+1)/12</f>
        <v>15416.6666666667</v>
      </c>
      <c r="O65" s="12" t="n">
        <f aca="false">INDEX(INPUT!$B$26:$F$26,1,O$4+1)/12</f>
        <v>15416.6666666667</v>
      </c>
      <c r="P65" s="12" t="n">
        <f aca="false">INDEX(INPUT!$B$26:$F$26,1,P$4+1)/12</f>
        <v>15416.6666666667</v>
      </c>
      <c r="Q65" s="12" t="n">
        <f aca="false">INDEX(INPUT!$B$26:$F$26,1,Q$4+1)/12</f>
        <v>15416.6666666667</v>
      </c>
      <c r="R65" s="12" t="n">
        <f aca="false">INDEX(INPUT!$B$26:$F$26,1,R$4+1)/12</f>
        <v>15416.6666666667</v>
      </c>
      <c r="S65" s="12" t="n">
        <f aca="false">INDEX(INPUT!$B$26:$F$26,1,S$4+1)/12</f>
        <v>15416.6666666667</v>
      </c>
      <c r="T65" s="12" t="n">
        <f aca="false">INDEX(INPUT!$B$26:$F$26,1,T$4+1)/12</f>
        <v>15416.6666666667</v>
      </c>
      <c r="U65" s="12" t="n">
        <f aca="false">INDEX(INPUT!$B$26:$F$26,1,U$4+1)/12</f>
        <v>15416.6666666667</v>
      </c>
      <c r="V65" s="12" t="n">
        <f aca="false">INDEX(INPUT!$B$26:$F$26,1,V$4+1)/12</f>
        <v>15416.6666666667</v>
      </c>
      <c r="W65" s="12" t="n">
        <f aca="false">INDEX(INPUT!$B$26:$F$26,1,W$4+1)/12</f>
        <v>15416.6666666667</v>
      </c>
      <c r="X65" s="12" t="n">
        <f aca="false">INDEX(INPUT!$B$26:$F$26,1,X$4+1)/12</f>
        <v>15416.6666666667</v>
      </c>
      <c r="Y65" s="12" t="n">
        <f aca="false">INDEX(INPUT!$B$26:$F$26,1,Y$4+1)/12</f>
        <v>15416.6666666667</v>
      </c>
      <c r="Z65" s="12" t="n">
        <f aca="false">INDEX(INPUT!$B$26:$F$26,1,Z$4+1)/12</f>
        <v>26250</v>
      </c>
      <c r="AA65" s="12" t="n">
        <f aca="false">INDEX(INPUT!$B$26:$F$26,1,AA$4+1)/12</f>
        <v>26250</v>
      </c>
      <c r="AB65" s="12" t="n">
        <f aca="false">INDEX(INPUT!$B$26:$F$26,1,AB$4+1)/12</f>
        <v>26250</v>
      </c>
      <c r="AC65" s="12" t="n">
        <f aca="false">INDEX(INPUT!$B$26:$F$26,1,AC$4+1)/12</f>
        <v>26250</v>
      </c>
      <c r="AD65" s="12" t="n">
        <f aca="false">INDEX(INPUT!$B$26:$F$26,1,AD$4+1)/12</f>
        <v>26250</v>
      </c>
      <c r="AE65" s="12" t="n">
        <f aca="false">INDEX(INPUT!$B$26:$F$26,1,AE$4+1)/12</f>
        <v>26250</v>
      </c>
      <c r="AF65" s="12" t="n">
        <f aca="false">INDEX(INPUT!$B$26:$F$26,1,AF$4+1)/12</f>
        <v>26250</v>
      </c>
      <c r="AG65" s="12" t="n">
        <f aca="false">INDEX(INPUT!$B$26:$F$26,1,AG$4+1)/12</f>
        <v>26250</v>
      </c>
      <c r="AH65" s="12" t="n">
        <f aca="false">INDEX(INPUT!$B$26:$F$26,1,AH$4+1)/12</f>
        <v>26250</v>
      </c>
      <c r="AI65" s="12" t="n">
        <f aca="false">INDEX(INPUT!$B$26:$F$26,1,AI$4+1)/12</f>
        <v>26250</v>
      </c>
      <c r="AJ65" s="12" t="n">
        <f aca="false">INDEX(INPUT!$B$26:$F$26,1,AJ$4+1)/12</f>
        <v>26250</v>
      </c>
      <c r="AK65" s="12" t="n">
        <f aca="false">INDEX(INPUT!$B$26:$F$26,1,AK$4+1)/12</f>
        <v>26250</v>
      </c>
      <c r="AL65" s="12" t="n">
        <f aca="false">INDEX(INPUT!$B$26:$F$26,1,AL$4+1)/12</f>
        <v>39166.6666666667</v>
      </c>
      <c r="AM65" s="12" t="n">
        <f aca="false">INDEX(INPUT!$B$26:$F$26,1,AM$4+1)/12</f>
        <v>39166.6666666667</v>
      </c>
      <c r="AN65" s="12" t="n">
        <f aca="false">INDEX(INPUT!$B$26:$F$26,1,AN$4+1)/12</f>
        <v>39166.6666666667</v>
      </c>
      <c r="AO65" s="12" t="n">
        <f aca="false">INDEX(INPUT!$B$26:$F$26,1,AO$4+1)/12</f>
        <v>39166.6666666667</v>
      </c>
      <c r="AP65" s="12" t="n">
        <f aca="false">INDEX(INPUT!$B$26:$F$26,1,AP$4+1)/12</f>
        <v>39166.6666666667</v>
      </c>
      <c r="AQ65" s="12" t="n">
        <f aca="false">INDEX(INPUT!$B$26:$F$26,1,AQ$4+1)/12</f>
        <v>39166.6666666667</v>
      </c>
      <c r="AR65" s="12" t="n">
        <f aca="false">INDEX(INPUT!$B$26:$F$26,1,AR$4+1)/12</f>
        <v>39166.6666666667</v>
      </c>
      <c r="AS65" s="12" t="n">
        <f aca="false">INDEX(INPUT!$B$26:$F$26,1,AS$4+1)/12</f>
        <v>39166.6666666667</v>
      </c>
      <c r="AT65" s="12" t="n">
        <f aca="false">INDEX(INPUT!$B$26:$F$26,1,AT$4+1)/12</f>
        <v>39166.6666666667</v>
      </c>
      <c r="AU65" s="12" t="n">
        <f aca="false">INDEX(INPUT!$B$26:$F$26,1,AU$4+1)/12</f>
        <v>39166.6666666667</v>
      </c>
      <c r="AV65" s="12" t="n">
        <f aca="false">INDEX(INPUT!$B$26:$F$26,1,AV$4+1)/12</f>
        <v>39166.6666666667</v>
      </c>
      <c r="AW65" s="12" t="n">
        <f aca="false">INDEX(INPUT!$B$26:$F$26,1,AW$4+1)/12</f>
        <v>39166.6666666667</v>
      </c>
      <c r="AX65" s="12" t="n">
        <f aca="false">INDEX(INPUT!$B$26:$F$26,1,AX$4+1)/12</f>
        <v>54166.6666666667</v>
      </c>
      <c r="AY65" s="12" t="n">
        <f aca="false">INDEX(INPUT!$B$26:$F$26,1,AY$4+1)/12</f>
        <v>54166.6666666667</v>
      </c>
      <c r="AZ65" s="12" t="n">
        <f aca="false">INDEX(INPUT!$B$26:$F$26,1,AZ$4+1)/12</f>
        <v>54166.6666666667</v>
      </c>
      <c r="BA65" s="12" t="n">
        <f aca="false">INDEX(INPUT!$B$26:$F$26,1,BA$4+1)/12</f>
        <v>54166.6666666667</v>
      </c>
      <c r="BB65" s="12" t="n">
        <f aca="false">INDEX(INPUT!$B$26:$F$26,1,BB$4+1)/12</f>
        <v>54166.6666666667</v>
      </c>
      <c r="BC65" s="12" t="n">
        <f aca="false">INDEX(INPUT!$B$26:$F$26,1,BC$4+1)/12</f>
        <v>54166.6666666667</v>
      </c>
      <c r="BD65" s="12" t="n">
        <f aca="false">INDEX(INPUT!$B$26:$F$26,1,BD$4+1)/12</f>
        <v>54166.6666666667</v>
      </c>
      <c r="BE65" s="12" t="n">
        <f aca="false">INDEX(INPUT!$B$26:$F$26,1,BE$4+1)/12</f>
        <v>54166.6666666667</v>
      </c>
      <c r="BF65" s="12" t="n">
        <f aca="false">INDEX(INPUT!$B$26:$F$26,1,BF$4+1)/12</f>
        <v>54166.6666666667</v>
      </c>
      <c r="BG65" s="12" t="n">
        <f aca="false">INDEX(INPUT!$B$26:$F$26,1,BG$4+1)/12</f>
        <v>54166.6666666667</v>
      </c>
      <c r="BH65" s="12" t="n">
        <f aca="false">INDEX(INPUT!$B$26:$F$26,1,BH$4+1)/12</f>
        <v>54166.6666666667</v>
      </c>
      <c r="BI65" s="12" t="n">
        <f aca="false">INDEX(INPUT!$B$26:$F$26,1,BI$4+1)/12</f>
        <v>54166.6666666667</v>
      </c>
    </row>
    <row r="66" customFormat="false" ht="15" hidden="false" customHeight="true" outlineLevel="0" collapsed="false">
      <c r="A66" s="11" t="s">
        <v>444</v>
      </c>
      <c r="B66" s="12" t="n">
        <f aca="false">INDEX(INPUT!$B$27:$F$27,1,B$4+1)/12</f>
        <v>1666.66666666667</v>
      </c>
      <c r="C66" s="12" t="n">
        <f aca="false">INDEX(INPUT!$B$27:$F$27,1,C$4+1)/12</f>
        <v>1666.66666666667</v>
      </c>
      <c r="D66" s="12" t="n">
        <f aca="false">INDEX(INPUT!$B$27:$F$27,1,D$4+1)/12</f>
        <v>1666.66666666667</v>
      </c>
      <c r="E66" s="12" t="n">
        <f aca="false">INDEX(INPUT!$B$27:$F$27,1,E$4+1)/12</f>
        <v>1666.66666666667</v>
      </c>
      <c r="F66" s="12" t="n">
        <f aca="false">INDEX(INPUT!$B$27:$F$27,1,F$4+1)/12</f>
        <v>1666.66666666667</v>
      </c>
      <c r="G66" s="12" t="n">
        <f aca="false">INDEX(INPUT!$B$27:$F$27,1,G$4+1)/12</f>
        <v>1666.66666666667</v>
      </c>
      <c r="H66" s="12" t="n">
        <f aca="false">INDEX(INPUT!$B$27:$F$27,1,H$4+1)/12</f>
        <v>1666.66666666667</v>
      </c>
      <c r="I66" s="12" t="n">
        <f aca="false">INDEX(INPUT!$B$27:$F$27,1,I$4+1)/12</f>
        <v>1666.66666666667</v>
      </c>
      <c r="J66" s="12" t="n">
        <f aca="false">INDEX(INPUT!$B$27:$F$27,1,J$4+1)/12</f>
        <v>1666.66666666667</v>
      </c>
      <c r="K66" s="12" t="n">
        <f aca="false">INDEX(INPUT!$B$27:$F$27,1,K$4+1)/12</f>
        <v>1666.66666666667</v>
      </c>
      <c r="L66" s="12" t="n">
        <f aca="false">INDEX(INPUT!$B$27:$F$27,1,L$4+1)/12</f>
        <v>1666.66666666667</v>
      </c>
      <c r="M66" s="12" t="n">
        <f aca="false">INDEX(INPUT!$B$27:$F$27,1,M$4+1)/12</f>
        <v>1666.66666666667</v>
      </c>
      <c r="N66" s="12" t="n">
        <f aca="false">INDEX(INPUT!$B$27:$F$27,1,N$4+1)/12</f>
        <v>4166.66666666667</v>
      </c>
      <c r="O66" s="12" t="n">
        <f aca="false">INDEX(INPUT!$B$27:$F$27,1,O$4+1)/12</f>
        <v>4166.66666666667</v>
      </c>
      <c r="P66" s="12" t="n">
        <f aca="false">INDEX(INPUT!$B$27:$F$27,1,P$4+1)/12</f>
        <v>4166.66666666667</v>
      </c>
      <c r="Q66" s="12" t="n">
        <f aca="false">INDEX(INPUT!$B$27:$F$27,1,Q$4+1)/12</f>
        <v>4166.66666666667</v>
      </c>
      <c r="R66" s="12" t="n">
        <f aca="false">INDEX(INPUT!$B$27:$F$27,1,R$4+1)/12</f>
        <v>4166.66666666667</v>
      </c>
      <c r="S66" s="12" t="n">
        <f aca="false">INDEX(INPUT!$B$27:$F$27,1,S$4+1)/12</f>
        <v>4166.66666666667</v>
      </c>
      <c r="T66" s="12" t="n">
        <f aca="false">INDEX(INPUT!$B$27:$F$27,1,T$4+1)/12</f>
        <v>4166.66666666667</v>
      </c>
      <c r="U66" s="12" t="n">
        <f aca="false">INDEX(INPUT!$B$27:$F$27,1,U$4+1)/12</f>
        <v>4166.66666666667</v>
      </c>
      <c r="V66" s="12" t="n">
        <f aca="false">INDEX(INPUT!$B$27:$F$27,1,V$4+1)/12</f>
        <v>4166.66666666667</v>
      </c>
      <c r="W66" s="12" t="n">
        <f aca="false">INDEX(INPUT!$B$27:$F$27,1,W$4+1)/12</f>
        <v>4166.66666666667</v>
      </c>
      <c r="X66" s="12" t="n">
        <f aca="false">INDEX(INPUT!$B$27:$F$27,1,X$4+1)/12</f>
        <v>4166.66666666667</v>
      </c>
      <c r="Y66" s="12" t="n">
        <f aca="false">INDEX(INPUT!$B$27:$F$27,1,Y$4+1)/12</f>
        <v>4166.66666666667</v>
      </c>
      <c r="Z66" s="12" t="n">
        <f aca="false">INDEX(INPUT!$B$27:$F$27,1,Z$4+1)/12</f>
        <v>6666.66666666667</v>
      </c>
      <c r="AA66" s="12" t="n">
        <f aca="false">INDEX(INPUT!$B$27:$F$27,1,AA$4+1)/12</f>
        <v>6666.66666666667</v>
      </c>
      <c r="AB66" s="12" t="n">
        <f aca="false">INDEX(INPUT!$B$27:$F$27,1,AB$4+1)/12</f>
        <v>6666.66666666667</v>
      </c>
      <c r="AC66" s="12" t="n">
        <f aca="false">INDEX(INPUT!$B$27:$F$27,1,AC$4+1)/12</f>
        <v>6666.66666666667</v>
      </c>
      <c r="AD66" s="12" t="n">
        <f aca="false">INDEX(INPUT!$B$27:$F$27,1,AD$4+1)/12</f>
        <v>6666.66666666667</v>
      </c>
      <c r="AE66" s="12" t="n">
        <f aca="false">INDEX(INPUT!$B$27:$F$27,1,AE$4+1)/12</f>
        <v>6666.66666666667</v>
      </c>
      <c r="AF66" s="12" t="n">
        <f aca="false">INDEX(INPUT!$B$27:$F$27,1,AF$4+1)/12</f>
        <v>6666.66666666667</v>
      </c>
      <c r="AG66" s="12" t="n">
        <f aca="false">INDEX(INPUT!$B$27:$F$27,1,AG$4+1)/12</f>
        <v>6666.66666666667</v>
      </c>
      <c r="AH66" s="12" t="n">
        <f aca="false">INDEX(INPUT!$B$27:$F$27,1,AH$4+1)/12</f>
        <v>6666.66666666667</v>
      </c>
      <c r="AI66" s="12" t="n">
        <f aca="false">INDEX(INPUT!$B$27:$F$27,1,AI$4+1)/12</f>
        <v>6666.66666666667</v>
      </c>
      <c r="AJ66" s="12" t="n">
        <f aca="false">INDEX(INPUT!$B$27:$F$27,1,AJ$4+1)/12</f>
        <v>6666.66666666667</v>
      </c>
      <c r="AK66" s="12" t="n">
        <f aca="false">INDEX(INPUT!$B$27:$F$27,1,AK$4+1)/12</f>
        <v>6666.66666666667</v>
      </c>
      <c r="AL66" s="12" t="n">
        <f aca="false">INDEX(INPUT!$B$27:$F$27,1,AL$4+1)/12</f>
        <v>10000</v>
      </c>
      <c r="AM66" s="12" t="n">
        <f aca="false">INDEX(INPUT!$B$27:$F$27,1,AM$4+1)/12</f>
        <v>10000</v>
      </c>
      <c r="AN66" s="12" t="n">
        <f aca="false">INDEX(INPUT!$B$27:$F$27,1,AN$4+1)/12</f>
        <v>10000</v>
      </c>
      <c r="AO66" s="12" t="n">
        <f aca="false">INDEX(INPUT!$B$27:$F$27,1,AO$4+1)/12</f>
        <v>10000</v>
      </c>
      <c r="AP66" s="12" t="n">
        <f aca="false">INDEX(INPUT!$B$27:$F$27,1,AP$4+1)/12</f>
        <v>10000</v>
      </c>
      <c r="AQ66" s="12" t="n">
        <f aca="false">INDEX(INPUT!$B$27:$F$27,1,AQ$4+1)/12</f>
        <v>10000</v>
      </c>
      <c r="AR66" s="12" t="n">
        <f aca="false">INDEX(INPUT!$B$27:$F$27,1,AR$4+1)/12</f>
        <v>10000</v>
      </c>
      <c r="AS66" s="12" t="n">
        <f aca="false">INDEX(INPUT!$B$27:$F$27,1,AS$4+1)/12</f>
        <v>10000</v>
      </c>
      <c r="AT66" s="12" t="n">
        <f aca="false">INDEX(INPUT!$B$27:$F$27,1,AT$4+1)/12</f>
        <v>10000</v>
      </c>
      <c r="AU66" s="12" t="n">
        <f aca="false">INDEX(INPUT!$B$27:$F$27,1,AU$4+1)/12</f>
        <v>10000</v>
      </c>
      <c r="AV66" s="12" t="n">
        <f aca="false">INDEX(INPUT!$B$27:$F$27,1,AV$4+1)/12</f>
        <v>10000</v>
      </c>
      <c r="AW66" s="12" t="n">
        <f aca="false">INDEX(INPUT!$B$27:$F$27,1,AW$4+1)/12</f>
        <v>10000</v>
      </c>
      <c r="AX66" s="12" t="n">
        <f aca="false">INDEX(INPUT!$B$27:$F$27,1,AX$4+1)/12</f>
        <v>14166.6666666667</v>
      </c>
      <c r="AY66" s="12" t="n">
        <f aca="false">INDEX(INPUT!$B$27:$F$27,1,AY$4+1)/12</f>
        <v>14166.6666666667</v>
      </c>
      <c r="AZ66" s="12" t="n">
        <f aca="false">INDEX(INPUT!$B$27:$F$27,1,AZ$4+1)/12</f>
        <v>14166.6666666667</v>
      </c>
      <c r="BA66" s="12" t="n">
        <f aca="false">INDEX(INPUT!$B$27:$F$27,1,BA$4+1)/12</f>
        <v>14166.6666666667</v>
      </c>
      <c r="BB66" s="12" t="n">
        <f aca="false">INDEX(INPUT!$B$27:$F$27,1,BB$4+1)/12</f>
        <v>14166.6666666667</v>
      </c>
      <c r="BC66" s="12" t="n">
        <f aca="false">INDEX(INPUT!$B$27:$F$27,1,BC$4+1)/12</f>
        <v>14166.6666666667</v>
      </c>
      <c r="BD66" s="12" t="n">
        <f aca="false">INDEX(INPUT!$B$27:$F$27,1,BD$4+1)/12</f>
        <v>14166.6666666667</v>
      </c>
      <c r="BE66" s="12" t="n">
        <f aca="false">INDEX(INPUT!$B$27:$F$27,1,BE$4+1)/12</f>
        <v>14166.6666666667</v>
      </c>
      <c r="BF66" s="12" t="n">
        <f aca="false">INDEX(INPUT!$B$27:$F$27,1,BF$4+1)/12</f>
        <v>14166.6666666667</v>
      </c>
      <c r="BG66" s="12" t="n">
        <f aca="false">INDEX(INPUT!$B$27:$F$27,1,BG$4+1)/12</f>
        <v>14166.6666666667</v>
      </c>
      <c r="BH66" s="12" t="n">
        <f aca="false">INDEX(INPUT!$B$27:$F$27,1,BH$4+1)/12</f>
        <v>14166.6666666667</v>
      </c>
      <c r="BI66" s="12" t="n">
        <f aca="false">INDEX(INPUT!$B$27:$F$27,1,BI$4+1)/12</f>
        <v>14166.6666666667</v>
      </c>
    </row>
    <row r="67" customFormat="false" ht="15" hidden="false" customHeight="true" outlineLevel="0" collapsed="false">
      <c r="A67" s="7" t="s">
        <v>445</v>
      </c>
      <c r="B67" s="8"/>
      <c r="C67" s="8"/>
      <c r="D67" s="8"/>
      <c r="E67" s="8"/>
      <c r="F67" s="8"/>
      <c r="G67" s="8"/>
    </row>
    <row r="68" customFormat="false" ht="15" hidden="false" customHeight="true" outlineLevel="0" collapsed="false">
      <c r="A68" s="11" t="s">
        <v>446</v>
      </c>
      <c r="B68" s="12" t="n">
        <f aca="false">B47-B50-B51-B52-B54-B56-B64-B8-B65-B66</f>
        <v>903.782560460362</v>
      </c>
      <c r="C68" s="12" t="n">
        <f aca="false">C47-C50-C51-C52-C54-C56-C64-C8-C65-C66</f>
        <v>1479.53085046619</v>
      </c>
      <c r="D68" s="12" t="n">
        <f aca="false">D47-D50-D51-D52-D54-D56-D64-D8-D65-D66</f>
        <v>8681.58296615501</v>
      </c>
      <c r="E68" s="12" t="n">
        <f aca="false">E47-E50-E51-E52-E54-E56-E64-E8-E65-E66</f>
        <v>15477.4033109157</v>
      </c>
      <c r="F68" s="12" t="n">
        <f aca="false">F47-F50-F51-F52-F54-F56-F64-F8-F65-F66</f>
        <v>21911.7950381687</v>
      </c>
      <c r="G68" s="12" t="n">
        <f aca="false">G47-G50-G51-G52-G54-G56-G64-G8-G65-G66</f>
        <v>23440.9502060681</v>
      </c>
      <c r="H68" s="12" t="n">
        <f aca="false">H47-H50-H51-H52-H54-H56-H64-H8-H65-H66</f>
        <v>29266.4139768546</v>
      </c>
      <c r="I68" s="12" t="n">
        <f aca="false">I47-I50-I51-I52-I54-I56-I64-I8-I65-I66</f>
        <v>34835.6398405888</v>
      </c>
      <c r="J68" s="12" t="n">
        <f aca="false">J47-J50-J51-J52-J54-J56-J64-J8-J65-J66</f>
        <v>40175.8116054639</v>
      </c>
      <c r="K68" s="12" t="n">
        <f aca="false">K47-K50-K51-K52-K54-K56-K64-K8-K65-K66</f>
        <v>45310.9401412062</v>
      </c>
      <c r="L68" s="12" t="n">
        <f aca="false">L47-L50-L51-L52-L54-L56-L64-L8-L65-L66</f>
        <v>50262.2419037284</v>
      </c>
      <c r="M68" s="12" t="n">
        <f aca="false">M47-M50-M51-M52-M54-M56-M64-M8-M65-M66</f>
        <v>55048.472092523</v>
      </c>
      <c r="N68" s="12" t="n">
        <f aca="false">N47-N50-N51-N52-N54-N56-N64-N8-N65-N66</f>
        <v>43070.8936962892</v>
      </c>
      <c r="O68" s="12" t="n">
        <f aca="false">O47-O50-O51-O52-O54-O56-O64-O8-O65-O66</f>
        <v>56648.0189244605</v>
      </c>
      <c r="P68" s="12" t="n">
        <f aca="false">P47-P50-P51-P52-P54-P56-P64-P8-P65-P66</f>
        <v>69540.6600662763</v>
      </c>
      <c r="Q68" s="12" t="n">
        <f aca="false">Q47-Q50-Q51-Q52-Q54-Q56-Q64-Q8-Q65-Q66</f>
        <v>81822.6420545167</v>
      </c>
      <c r="R68" s="12" t="n">
        <f aca="false">R47-R50-R51-R52-R54-R56-R64-R8-R65-R66</f>
        <v>93559.1386589681</v>
      </c>
      <c r="S68" s="12" t="n">
        <f aca="false">S47-S50-S51-S52-S54-S56-S64-S8-S65-S66</f>
        <v>104807.705430258</v>
      </c>
      <c r="T68" s="12" t="n">
        <f aca="false">T47-T50-T51-T52-T54-T56-T64-T8-T65-T66</f>
        <v>115619.188820325</v>
      </c>
      <c r="U68" s="12" t="n">
        <f aca="false">U47-U50-U51-U52-U54-U56-U64-U8-U65-U66</f>
        <v>126038.526335076</v>
      </c>
      <c r="V68" s="12" t="n">
        <f aca="false">V47-V50-V51-V52-V54-V56-V64-V8-V65-V66</f>
        <v>136105.450792204</v>
      </c>
      <c r="W68" s="12" t="n">
        <f aca="false">W47-W50-W51-W52-W54-W56-W64-W8-W65-W66</f>
        <v>145855.110188464</v>
      </c>
      <c r="X68" s="12" t="n">
        <f aca="false">X47-X50-X51-X52-X54-X56-X64-X8-X65-X66</f>
        <v>155318.613300253</v>
      </c>
      <c r="Y68" s="12" t="n">
        <f aca="false">Y47-Y50-Y51-Y52-Y54-Y56-Y64-Y8-Y65-Y66</f>
        <v>164523.509926574</v>
      </c>
      <c r="Z68" s="12" t="n">
        <f aca="false">Z47-Z50-Z51-Z52-Z54-Z56-Z64-Z8-Z65-Z66</f>
        <v>129110.444212926</v>
      </c>
      <c r="AA68" s="12" t="n">
        <f aca="false">AA47-AA50-AA51-AA52-AA54-AA56-AA64-AA8-AA65-AA66</f>
        <v>144187.78502365</v>
      </c>
      <c r="AB68" s="12" t="n">
        <f aca="false">AB47-AB50-AB51-AB52-AB54-AB56-AB64-AB8-AB65-AB66</f>
        <v>158468.983647461</v>
      </c>
      <c r="AC68" s="12" t="n">
        <f aca="false">AC47-AC50-AC51-AC52-AC54-AC56-AC64-AC8-AC65-AC66</f>
        <v>172038.030758545</v>
      </c>
      <c r="AD68" s="12" t="n">
        <f aca="false">AD47-AD50-AD51-AD52-AD54-AD56-AD64-AD8-AD65-AD66</f>
        <v>184969.126809895</v>
      </c>
      <c r="AE68" s="12" t="n">
        <f aca="false">AE47-AE50-AE51-AE52-AE54-AE56-AE64-AE8-AE65-AE66</f>
        <v>197327.849643354</v>
      </c>
      <c r="AF68" s="12" t="n">
        <f aca="false">AF47-AF50-AF51-AF52-AF54-AF56-AF64-AF8-AF65-AF66</f>
        <v>209172.182166881</v>
      </c>
      <c r="AG68" s="12" t="n">
        <f aca="false">AG47-AG50-AG51-AG52-AG54-AG56-AG64-AG8-AG65-AG66</f>
        <v>220553.416886431</v>
      </c>
      <c r="AH68" s="12" t="n">
        <f aca="false">AH47-AH50-AH51-AH52-AH54-AH56-AH64-AH8-AH65-AH66</f>
        <v>231516.952065529</v>
      </c>
      <c r="AI68" s="12" t="n">
        <f aca="false">AI47-AI50-AI51-AI52-AI54-AI56-AI64-AI8-AI65-AI66</f>
        <v>242102.992512898</v>
      </c>
      <c r="AJ68" s="12" t="n">
        <f aca="false">AJ47-AJ50-AJ51-AJ52-AJ54-AJ56-AJ64-AJ8-AJ65-AJ66</f>
        <v>252347.166438618</v>
      </c>
      <c r="AK68" s="12" t="n">
        <f aca="false">AK47-AK50-AK51-AK52-AK54-AK56-AK64-AK8-AK65-AK66</f>
        <v>262281.068446505</v>
      </c>
      <c r="AL68" s="12" t="n">
        <f aca="false">AL47-AL50-AL51-AL52-AL54-AL56-AL64-AL8-AL65-AL66</f>
        <v>256324.723061815</v>
      </c>
      <c r="AM68" s="12" t="n">
        <f aca="false">AM47-AM50-AM51-AM52-AM54-AM56-AM64-AM8-AM65-AM66</f>
        <v>276269.8564186</v>
      </c>
      <c r="AN68" s="12" t="n">
        <f aca="false">AN47-AN50-AN51-AN52-AN54-AN56-AN64-AN8-AN65-AN66</f>
        <v>295052.488034193</v>
      </c>
      <c r="AO68" s="12" t="n">
        <f aca="false">AO47-AO50-AO51-AO52-AO54-AO56-AO64-AO8-AO65-AO66</f>
        <v>312795.605792945</v>
      </c>
      <c r="AP68" s="12" t="n">
        <f aca="false">AP47-AP50-AP51-AP52-AP54-AP56-AP64-AP8-AP65-AP66</f>
        <v>329607.8518412</v>
      </c>
      <c r="AQ68" s="12" t="n">
        <f aca="false">AQ47-AQ50-AQ51-AQ52-AQ54-AQ56-AQ64-AQ8-AQ65-AQ66</f>
        <v>345585.233755654</v>
      </c>
      <c r="AR68" s="12" t="n">
        <f aca="false">AR47-AR50-AR51-AR52-AR54-AR56-AR64-AR8-AR65-AR66</f>
        <v>360812.630629511</v>
      </c>
      <c r="AS68" s="12" t="n">
        <f aca="false">AS47-AS50-AS51-AS52-AS54-AS56-AS64-AS8-AS65-AS66</f>
        <v>375365.118679863</v>
      </c>
      <c r="AT68" s="12" t="n">
        <f aca="false">AT47-AT50-AT51-AT52-AT54-AT56-AT64-AT8-AT65-AT66</f>
        <v>389309.138027446</v>
      </c>
      <c r="AU68" s="12" t="n">
        <f aca="false">AU47-AU50-AU51-AU52-AU54-AU56-AU64-AU8-AU65-AU66</f>
        <v>402703.519701959</v>
      </c>
      <c r="AV68" s="12" t="n">
        <f aca="false">AV47-AV50-AV51-AV52-AV54-AV56-AV64-AV8-AV65-AV66</f>
        <v>415600.389639904</v>
      </c>
      <c r="AW68" s="12" t="n">
        <f aca="false">AW47-AW50-AW51-AW52-AW54-AW56-AW64-AW8-AW65-AW66</f>
        <v>428045.964430008</v>
      </c>
      <c r="AX68" s="12" t="n">
        <f aca="false">AX47-AX50-AX51-AX52-AX54-AX56-AX64-AX8-AX65-AX66</f>
        <v>431324.916877042</v>
      </c>
      <c r="AY68" s="12" t="n">
        <f aca="false">AY47-AY50-AY51-AY52-AY54-AY56-AY64-AY8-AY65-AY66</f>
        <v>453549.950552356</v>
      </c>
      <c r="AZ68" s="12" t="n">
        <f aca="false">AZ47-AZ50-AZ51-AZ52-AZ54-AZ56-AZ64-AZ8-AZ65-AZ66</f>
        <v>474549.569000074</v>
      </c>
      <c r="BA68" s="12" t="n">
        <f aca="false">BA47-BA50-BA51-BA52-BA54-BA56-BA64-BA8-BA65-BA66</f>
        <v>494450.858917669</v>
      </c>
      <c r="BB68" s="12" t="n">
        <f aca="false">BB47-BB50-BB51-BB52-BB54-BB56-BB64-BB8-BB65-BB66</f>
        <v>513366.155677168</v>
      </c>
      <c r="BC68" s="12" t="n">
        <f aca="false">BC47-BC50-BC51-BC52-BC54-BC56-BC64-BC8-BC65-BC66</f>
        <v>531394.801007241</v>
      </c>
      <c r="BD68" s="12" t="n">
        <f aca="false">BD47-BD50-BD51-BD52-BD54-BD56-BD64-BD8-BD65-BD66</f>
        <v>548624.690065376</v>
      </c>
      <c r="BE68" s="12" t="n">
        <f aca="false">BE47-BE50-BE51-BE52-BE54-BE56-BE64-BE8-BE65-BE66</f>
        <v>565133.633165515</v>
      </c>
      <c r="BF68" s="12" t="n">
        <f aca="false">BF47-BF50-BF51-BF52-BF54-BF56-BF64-BF8-BF65-BF66</f>
        <v>580990.554394892</v>
      </c>
      <c r="BG68" s="12" t="n">
        <f aca="false">BG47-BG50-BG51-BG52-BG54-BG56-BG64-BG8-BG65-BG66</f>
        <v>596256.546685967</v>
      </c>
      <c r="BH68" s="12" t="n">
        <f aca="false">BH47-BH50-BH51-BH52-BH54-BH56-BH64-BH8-BH65-BH66</f>
        <v>610985.800561606</v>
      </c>
      <c r="BI68" s="12" t="n">
        <f aca="false">BI47-BI50-BI51-BI52-BI54-BI56-BI64-BI8-BI65-BI66</f>
        <v>625226.421705675</v>
      </c>
    </row>
    <row r="69" customFormat="false" ht="15" hidden="false" customHeight="true" outlineLevel="0" collapsed="false">
      <c r="A69" s="6" t="s">
        <v>447</v>
      </c>
      <c r="B69" s="58" t="n">
        <f aca="false">0</f>
        <v>0</v>
      </c>
      <c r="C69" s="58" t="n">
        <f aca="false">0</f>
        <v>0</v>
      </c>
      <c r="D69" s="58" t="n">
        <f aca="false">IF(D68&gt;INPUT!$B$59,C69+1,0)</f>
        <v>0</v>
      </c>
      <c r="E69" s="58" t="n">
        <f aca="false">IF(E68&gt;INPUT!$B$59,D69+1,0)</f>
        <v>1</v>
      </c>
      <c r="F69" s="58" t="n">
        <f aca="false">IF(F68&gt;INPUT!$B$59,E69+1,0)</f>
        <v>2</v>
      </c>
      <c r="G69" s="58" t="n">
        <f aca="false">IF(G68&gt;INPUT!$B$59,F69+1,0)</f>
        <v>3</v>
      </c>
      <c r="H69" s="58" t="n">
        <f aca="false">IF(H68&gt;INPUT!$B$59,G69+1,0)</f>
        <v>4</v>
      </c>
      <c r="I69" s="58" t="n">
        <f aca="false">IF(I68&gt;INPUT!$B$59,H69+1,0)</f>
        <v>5</v>
      </c>
      <c r="J69" s="58" t="n">
        <f aca="false">IF(J68&gt;INPUT!$B$59,I69+1,0)</f>
        <v>6</v>
      </c>
      <c r="K69" s="58" t="n">
        <f aca="false">IF(K68&gt;INPUT!$B$59,J69+1,0)</f>
        <v>7</v>
      </c>
      <c r="L69" s="58" t="n">
        <f aca="false">IF(L68&gt;INPUT!$B$59,K69+1,0)</f>
        <v>8</v>
      </c>
      <c r="M69" s="58" t="n">
        <f aca="false">IF(M68&gt;INPUT!$B$59,L69+1,0)</f>
        <v>9</v>
      </c>
      <c r="N69" s="58" t="n">
        <f aca="false">IF(N68&gt;INPUT!$B$59,M69+1,0)</f>
        <v>10</v>
      </c>
      <c r="O69" s="58" t="n">
        <f aca="false">IF(O68&gt;INPUT!$B$59,N69+1,0)</f>
        <v>11</v>
      </c>
      <c r="P69" s="58" t="n">
        <f aca="false">IF(P68&gt;INPUT!$B$59,O69+1,0)</f>
        <v>12</v>
      </c>
      <c r="Q69" s="58" t="n">
        <f aca="false">IF(Q68&gt;INPUT!$B$59,P69+1,0)</f>
        <v>13</v>
      </c>
      <c r="R69" s="58" t="n">
        <f aca="false">IF(R68&gt;INPUT!$B$59,Q69+1,0)</f>
        <v>14</v>
      </c>
      <c r="S69" s="58" t="n">
        <f aca="false">IF(S68&gt;INPUT!$B$59,R69+1,0)</f>
        <v>15</v>
      </c>
      <c r="T69" s="58" t="n">
        <f aca="false">IF(T68&gt;INPUT!$B$59,S69+1,0)</f>
        <v>16</v>
      </c>
      <c r="U69" s="58" t="n">
        <f aca="false">IF(U68&gt;INPUT!$B$59,T69+1,0)</f>
        <v>17</v>
      </c>
      <c r="V69" s="58" t="n">
        <f aca="false">IF(V68&gt;INPUT!$B$59,U69+1,0)</f>
        <v>18</v>
      </c>
      <c r="W69" s="58" t="n">
        <f aca="false">IF(W68&gt;INPUT!$B$59,V69+1,0)</f>
        <v>19</v>
      </c>
      <c r="X69" s="58" t="n">
        <f aca="false">IF(X68&gt;INPUT!$B$59,W69+1,0)</f>
        <v>20</v>
      </c>
      <c r="Y69" s="58" t="n">
        <f aca="false">IF(Y68&gt;INPUT!$B$59,X69+1,0)</f>
        <v>21</v>
      </c>
      <c r="Z69" s="58" t="n">
        <f aca="false">IF(Z68&gt;INPUT!$B$59,Y69+1,0)</f>
        <v>22</v>
      </c>
      <c r="AA69" s="58" t="n">
        <f aca="false">IF(AA68&gt;INPUT!$B$59,Z69+1,0)</f>
        <v>23</v>
      </c>
      <c r="AB69" s="58" t="n">
        <f aca="false">IF(AB68&gt;INPUT!$B$59,AA69+1,0)</f>
        <v>24</v>
      </c>
      <c r="AC69" s="58" t="n">
        <f aca="false">IF(AC68&gt;INPUT!$B$59,AB69+1,0)</f>
        <v>25</v>
      </c>
      <c r="AD69" s="58" t="n">
        <f aca="false">IF(AD68&gt;INPUT!$B$59,AC69+1,0)</f>
        <v>26</v>
      </c>
      <c r="AE69" s="58" t="n">
        <f aca="false">IF(AE68&gt;INPUT!$B$59,AD69+1,0)</f>
        <v>27</v>
      </c>
      <c r="AF69" s="58" t="n">
        <f aca="false">IF(AF68&gt;INPUT!$B$59,AE69+1,0)</f>
        <v>28</v>
      </c>
      <c r="AG69" s="58" t="n">
        <f aca="false">IF(AG68&gt;INPUT!$B$59,AF69+1,0)</f>
        <v>29</v>
      </c>
      <c r="AH69" s="58" t="n">
        <f aca="false">IF(AH68&gt;INPUT!$B$59,AG69+1,0)</f>
        <v>30</v>
      </c>
      <c r="AI69" s="58" t="n">
        <f aca="false">IF(AI68&gt;INPUT!$B$59,AH69+1,0)</f>
        <v>31</v>
      </c>
      <c r="AJ69" s="58" t="n">
        <f aca="false">IF(AJ68&gt;INPUT!$B$59,AI69+1,0)</f>
        <v>32</v>
      </c>
      <c r="AK69" s="58" t="n">
        <f aca="false">IF(AK68&gt;INPUT!$B$59,AJ69+1,0)</f>
        <v>33</v>
      </c>
      <c r="AL69" s="58" t="n">
        <f aca="false">IF(AL68&gt;INPUT!$B$59,AK69+1,0)</f>
        <v>34</v>
      </c>
      <c r="AM69" s="58" t="n">
        <f aca="false">IF(AM68&gt;INPUT!$B$59,AL69+1,0)</f>
        <v>35</v>
      </c>
      <c r="AN69" s="58" t="n">
        <f aca="false">IF(AN68&gt;INPUT!$B$59,AM69+1,0)</f>
        <v>36</v>
      </c>
      <c r="AO69" s="58" t="n">
        <f aca="false">IF(AO68&gt;INPUT!$B$59,AN69+1,0)</f>
        <v>37</v>
      </c>
      <c r="AP69" s="58" t="n">
        <f aca="false">IF(AP68&gt;INPUT!$B$59,AO69+1,0)</f>
        <v>38</v>
      </c>
      <c r="AQ69" s="58" t="n">
        <f aca="false">IF(AQ68&gt;INPUT!$B$59,AP69+1,0)</f>
        <v>39</v>
      </c>
      <c r="AR69" s="58" t="n">
        <f aca="false">IF(AR68&gt;INPUT!$B$59,AQ69+1,0)</f>
        <v>40</v>
      </c>
      <c r="AS69" s="58" t="n">
        <f aca="false">IF(AS68&gt;INPUT!$B$59,AR69+1,0)</f>
        <v>41</v>
      </c>
      <c r="AT69" s="58" t="n">
        <f aca="false">IF(AT68&gt;INPUT!$B$59,AS69+1,0)</f>
        <v>42</v>
      </c>
      <c r="AU69" s="58" t="n">
        <f aca="false">IF(AU68&gt;INPUT!$B$59,AT69+1,0)</f>
        <v>43</v>
      </c>
      <c r="AV69" s="58" t="n">
        <f aca="false">IF(AV68&gt;INPUT!$B$59,AU69+1,0)</f>
        <v>44</v>
      </c>
      <c r="AW69" s="58" t="n">
        <f aca="false">IF(AW68&gt;INPUT!$B$59,AV69+1,0)</f>
        <v>45</v>
      </c>
      <c r="AX69" s="58" t="n">
        <f aca="false">IF(AX68&gt;INPUT!$B$59,AW69+1,0)</f>
        <v>46</v>
      </c>
      <c r="AY69" s="58" t="n">
        <f aca="false">IF(AY68&gt;INPUT!$B$59,AX69+1,0)</f>
        <v>47</v>
      </c>
      <c r="AZ69" s="58" t="n">
        <f aca="false">IF(AZ68&gt;INPUT!$B$59,AY69+1,0)</f>
        <v>48</v>
      </c>
      <c r="BA69" s="58" t="n">
        <f aca="false">IF(BA68&gt;INPUT!$B$59,AZ69+1,0)</f>
        <v>49</v>
      </c>
      <c r="BB69" s="58" t="n">
        <f aca="false">IF(BB68&gt;INPUT!$B$59,BA69+1,0)</f>
        <v>50</v>
      </c>
      <c r="BC69" s="58" t="n">
        <f aca="false">IF(BC68&gt;INPUT!$B$59,BB69+1,0)</f>
        <v>51</v>
      </c>
      <c r="BD69" s="58" t="n">
        <f aca="false">IF(BD68&gt;INPUT!$B$59,BC69+1,0)</f>
        <v>52</v>
      </c>
      <c r="BE69" s="58" t="n">
        <f aca="false">IF(BE68&gt;INPUT!$B$59,BD69+1,0)</f>
        <v>53</v>
      </c>
      <c r="BF69" s="58" t="n">
        <f aca="false">IF(BF68&gt;INPUT!$B$59,BE69+1,0)</f>
        <v>54</v>
      </c>
      <c r="BG69" s="58" t="n">
        <f aca="false">IF(BG68&gt;INPUT!$B$59,BF69+1,0)</f>
        <v>55</v>
      </c>
      <c r="BH69" s="58" t="n">
        <f aca="false">IF(BH68&gt;INPUT!$B$59,BG69+1,0)</f>
        <v>56</v>
      </c>
      <c r="BI69" s="58" t="n">
        <f aca="false">IF(BI68&gt;INPUT!$B$59,BH69+1,0)</f>
        <v>57</v>
      </c>
    </row>
    <row r="70" customFormat="false" ht="15" hidden="false" customHeight="true" outlineLevel="0" collapsed="false">
      <c r="A70" s="6" t="s">
        <v>448</v>
      </c>
      <c r="B70" s="58" t="n">
        <f aca="false">0</f>
        <v>0</v>
      </c>
      <c r="C70" s="58" t="n">
        <f aca="false">0</f>
        <v>0</v>
      </c>
      <c r="D70" s="58" t="n">
        <f aca="false">IF(OR(C70=1,D69&gt;=3),1,0)</f>
        <v>0</v>
      </c>
      <c r="E70" s="58" t="n">
        <f aca="false">IF(OR(D70=1,E69&gt;=3),1,0)</f>
        <v>0</v>
      </c>
      <c r="F70" s="58" t="n">
        <f aca="false">IF(OR(E70=1,F69&gt;=3),1,0)</f>
        <v>0</v>
      </c>
      <c r="G70" s="58" t="n">
        <f aca="false">IF(OR(F70=1,G69&gt;=3),1,0)</f>
        <v>1</v>
      </c>
      <c r="H70" s="58" t="n">
        <f aca="false">IF(OR(G70=1,H69&gt;=3),1,0)</f>
        <v>1</v>
      </c>
      <c r="I70" s="58" t="n">
        <f aca="false">IF(OR(H70=1,I69&gt;=3),1,0)</f>
        <v>1</v>
      </c>
      <c r="J70" s="58" t="n">
        <f aca="false">IF(OR(I70=1,J69&gt;=3),1,0)</f>
        <v>1</v>
      </c>
      <c r="K70" s="58" t="n">
        <f aca="false">IF(OR(J70=1,K69&gt;=3),1,0)</f>
        <v>1</v>
      </c>
      <c r="L70" s="58" t="n">
        <f aca="false">IF(OR(K70=1,L69&gt;=3),1,0)</f>
        <v>1</v>
      </c>
      <c r="M70" s="58" t="n">
        <f aca="false">IF(OR(L70=1,M69&gt;=3),1,0)</f>
        <v>1</v>
      </c>
      <c r="N70" s="58" t="n">
        <f aca="false">IF(OR(M70=1,N69&gt;=3),1,0)</f>
        <v>1</v>
      </c>
      <c r="O70" s="58" t="n">
        <f aca="false">IF(OR(N70=1,O69&gt;=3),1,0)</f>
        <v>1</v>
      </c>
      <c r="P70" s="58" t="n">
        <f aca="false">IF(OR(O70=1,P69&gt;=3),1,0)</f>
        <v>1</v>
      </c>
      <c r="Q70" s="58" t="n">
        <f aca="false">IF(OR(P70=1,Q69&gt;=3),1,0)</f>
        <v>1</v>
      </c>
      <c r="R70" s="58" t="n">
        <f aca="false">IF(OR(Q70=1,R69&gt;=3),1,0)</f>
        <v>1</v>
      </c>
      <c r="S70" s="58" t="n">
        <f aca="false">IF(OR(R70=1,S69&gt;=3),1,0)</f>
        <v>1</v>
      </c>
      <c r="T70" s="58" t="n">
        <f aca="false">IF(OR(S70=1,T69&gt;=3),1,0)</f>
        <v>1</v>
      </c>
      <c r="U70" s="58" t="n">
        <f aca="false">IF(OR(T70=1,U69&gt;=3),1,0)</f>
        <v>1</v>
      </c>
      <c r="V70" s="58" t="n">
        <f aca="false">IF(OR(U70=1,V69&gt;=3),1,0)</f>
        <v>1</v>
      </c>
      <c r="W70" s="58" t="n">
        <f aca="false">IF(OR(V70=1,W69&gt;=3),1,0)</f>
        <v>1</v>
      </c>
      <c r="X70" s="58" t="n">
        <f aca="false">IF(OR(W70=1,X69&gt;=3),1,0)</f>
        <v>1</v>
      </c>
      <c r="Y70" s="58" t="n">
        <f aca="false">IF(OR(X70=1,Y69&gt;=3),1,0)</f>
        <v>1</v>
      </c>
      <c r="Z70" s="58" t="n">
        <f aca="false">IF(OR(Y70=1,Z69&gt;=3),1,0)</f>
        <v>1</v>
      </c>
      <c r="AA70" s="58" t="n">
        <f aca="false">IF(OR(Z70=1,AA69&gt;=3),1,0)</f>
        <v>1</v>
      </c>
      <c r="AB70" s="58" t="n">
        <f aca="false">IF(OR(AA70=1,AB69&gt;=3),1,0)</f>
        <v>1</v>
      </c>
      <c r="AC70" s="58" t="n">
        <f aca="false">IF(OR(AB70=1,AC69&gt;=3),1,0)</f>
        <v>1</v>
      </c>
      <c r="AD70" s="58" t="n">
        <f aca="false">IF(OR(AC70=1,AD69&gt;=3),1,0)</f>
        <v>1</v>
      </c>
      <c r="AE70" s="58" t="n">
        <f aca="false">IF(OR(AD70=1,AE69&gt;=3),1,0)</f>
        <v>1</v>
      </c>
      <c r="AF70" s="58" t="n">
        <f aca="false">IF(OR(AE70=1,AF69&gt;=3),1,0)</f>
        <v>1</v>
      </c>
      <c r="AG70" s="58" t="n">
        <f aca="false">IF(OR(AF70=1,AG69&gt;=3),1,0)</f>
        <v>1</v>
      </c>
      <c r="AH70" s="58" t="n">
        <f aca="false">IF(OR(AG70=1,AH69&gt;=3),1,0)</f>
        <v>1</v>
      </c>
      <c r="AI70" s="58" t="n">
        <f aca="false">IF(OR(AH70=1,AI69&gt;=3),1,0)</f>
        <v>1</v>
      </c>
      <c r="AJ70" s="58" t="n">
        <f aca="false">IF(OR(AI70=1,AJ69&gt;=3),1,0)</f>
        <v>1</v>
      </c>
      <c r="AK70" s="58" t="n">
        <f aca="false">IF(OR(AJ70=1,AK69&gt;=3),1,0)</f>
        <v>1</v>
      </c>
      <c r="AL70" s="58" t="n">
        <f aca="false">IF(OR(AK70=1,AL69&gt;=3),1,0)</f>
        <v>1</v>
      </c>
      <c r="AM70" s="58" t="n">
        <f aca="false">IF(OR(AL70=1,AM69&gt;=3),1,0)</f>
        <v>1</v>
      </c>
      <c r="AN70" s="58" t="n">
        <f aca="false">IF(OR(AM70=1,AN69&gt;=3),1,0)</f>
        <v>1</v>
      </c>
      <c r="AO70" s="58" t="n">
        <f aca="false">IF(OR(AN70=1,AO69&gt;=3),1,0)</f>
        <v>1</v>
      </c>
      <c r="AP70" s="58" t="n">
        <f aca="false">IF(OR(AO70=1,AP69&gt;=3),1,0)</f>
        <v>1</v>
      </c>
      <c r="AQ70" s="58" t="n">
        <f aca="false">IF(OR(AP70=1,AQ69&gt;=3),1,0)</f>
        <v>1</v>
      </c>
      <c r="AR70" s="58" t="n">
        <f aca="false">IF(OR(AQ70=1,AR69&gt;=3),1,0)</f>
        <v>1</v>
      </c>
      <c r="AS70" s="58" t="n">
        <f aca="false">IF(OR(AR70=1,AS69&gt;=3),1,0)</f>
        <v>1</v>
      </c>
      <c r="AT70" s="58" t="n">
        <f aca="false">IF(OR(AS70=1,AT69&gt;=3),1,0)</f>
        <v>1</v>
      </c>
      <c r="AU70" s="58" t="n">
        <f aca="false">IF(OR(AT70=1,AU69&gt;=3),1,0)</f>
        <v>1</v>
      </c>
      <c r="AV70" s="58" t="n">
        <f aca="false">IF(OR(AU70=1,AV69&gt;=3),1,0)</f>
        <v>1</v>
      </c>
      <c r="AW70" s="58" t="n">
        <f aca="false">IF(OR(AV70=1,AW69&gt;=3),1,0)</f>
        <v>1</v>
      </c>
      <c r="AX70" s="58" t="n">
        <f aca="false">IF(OR(AW70=1,AX69&gt;=3),1,0)</f>
        <v>1</v>
      </c>
      <c r="AY70" s="58" t="n">
        <f aca="false">IF(OR(AX70=1,AY69&gt;=3),1,0)</f>
        <v>1</v>
      </c>
      <c r="AZ70" s="58" t="n">
        <f aca="false">IF(OR(AY70=1,AZ69&gt;=3),1,0)</f>
        <v>1</v>
      </c>
      <c r="BA70" s="58" t="n">
        <f aca="false">IF(OR(AZ70=1,BA69&gt;=3),1,0)</f>
        <v>1</v>
      </c>
      <c r="BB70" s="58" t="n">
        <f aca="false">IF(OR(BA70=1,BB69&gt;=3),1,0)</f>
        <v>1</v>
      </c>
      <c r="BC70" s="58" t="n">
        <f aca="false">IF(OR(BB70=1,BC69&gt;=3),1,0)</f>
        <v>1</v>
      </c>
      <c r="BD70" s="58" t="n">
        <f aca="false">IF(OR(BC70=1,BD69&gt;=3),1,0)</f>
        <v>1</v>
      </c>
      <c r="BE70" s="58" t="n">
        <f aca="false">IF(OR(BD70=1,BE69&gt;=3),1,0)</f>
        <v>1</v>
      </c>
      <c r="BF70" s="58" t="n">
        <f aca="false">IF(OR(BE70=1,BF69&gt;=3),1,0)</f>
        <v>1</v>
      </c>
      <c r="BG70" s="58" t="n">
        <f aca="false">IF(OR(BF70=1,BG69&gt;=3),1,0)</f>
        <v>1</v>
      </c>
      <c r="BH70" s="58" t="n">
        <f aca="false">IF(OR(BG70=1,BH69&gt;=3),1,0)</f>
        <v>1</v>
      </c>
      <c r="BI70" s="58" t="n">
        <f aca="false">IF(OR(BH70=1,BI69&gt;=3),1,0)</f>
        <v>1</v>
      </c>
    </row>
    <row r="71" customFormat="false" ht="15" hidden="false" customHeight="true" outlineLevel="0" collapsed="false">
      <c r="A71" s="11" t="s">
        <v>79</v>
      </c>
      <c r="B71" s="12" t="n">
        <f aca="false">B70*INPUT!$B$57*INPUT!$B$58</f>
        <v>0</v>
      </c>
      <c r="C71" s="12" t="n">
        <f aca="false">C70*INPUT!$B$57*INPUT!$B$58</f>
        <v>0</v>
      </c>
      <c r="D71" s="12" t="n">
        <f aca="false">D70*INPUT!$B$57*INPUT!$B$58</f>
        <v>0</v>
      </c>
      <c r="E71" s="12" t="n">
        <f aca="false">E70*INPUT!$B$57*INPUT!$B$58</f>
        <v>0</v>
      </c>
      <c r="F71" s="12" t="n">
        <f aca="false">F70*INPUT!$B$57*INPUT!$B$58</f>
        <v>0</v>
      </c>
      <c r="G71" s="12" t="n">
        <f aca="false">G70*INPUT!$B$57*INPUT!$B$58</f>
        <v>5000</v>
      </c>
      <c r="H71" s="12" t="n">
        <f aca="false">H70*INPUT!$B$57*INPUT!$B$58</f>
        <v>5000</v>
      </c>
      <c r="I71" s="12" t="n">
        <f aca="false">I70*INPUT!$B$57*INPUT!$B$58</f>
        <v>5000</v>
      </c>
      <c r="J71" s="12" t="n">
        <f aca="false">J70*INPUT!$B$57*INPUT!$B$58</f>
        <v>5000</v>
      </c>
      <c r="K71" s="12" t="n">
        <f aca="false">K70*INPUT!$B$57*INPUT!$B$58</f>
        <v>5000</v>
      </c>
      <c r="L71" s="12" t="n">
        <f aca="false">L70*INPUT!$B$57*INPUT!$B$58</f>
        <v>5000</v>
      </c>
      <c r="M71" s="12" t="n">
        <f aca="false">M70*INPUT!$B$57*INPUT!$B$58</f>
        <v>5000</v>
      </c>
      <c r="N71" s="12" t="n">
        <f aca="false">N70*INPUT!$B$57*INPUT!$B$58</f>
        <v>5000</v>
      </c>
      <c r="O71" s="12" t="n">
        <f aca="false">O70*INPUT!$B$57*INPUT!$B$58</f>
        <v>5000</v>
      </c>
      <c r="P71" s="12" t="n">
        <f aca="false">P70*INPUT!$B$57*INPUT!$B$58</f>
        <v>5000</v>
      </c>
      <c r="Q71" s="12" t="n">
        <f aca="false">Q70*INPUT!$B$57*INPUT!$B$58</f>
        <v>5000</v>
      </c>
      <c r="R71" s="12" t="n">
        <f aca="false">R70*INPUT!$B$57*INPUT!$B$58</f>
        <v>5000</v>
      </c>
      <c r="S71" s="12" t="n">
        <f aca="false">S70*INPUT!$B$57*INPUT!$B$58</f>
        <v>5000</v>
      </c>
      <c r="T71" s="12" t="n">
        <f aca="false">T70*INPUT!$B$57*INPUT!$B$58</f>
        <v>5000</v>
      </c>
      <c r="U71" s="12" t="n">
        <f aca="false">U70*INPUT!$B$57*INPUT!$B$58</f>
        <v>5000</v>
      </c>
      <c r="V71" s="12" t="n">
        <f aca="false">V70*INPUT!$B$57*INPUT!$B$58</f>
        <v>5000</v>
      </c>
      <c r="W71" s="12" t="n">
        <f aca="false">W70*INPUT!$B$57*INPUT!$B$58</f>
        <v>5000</v>
      </c>
      <c r="X71" s="12" t="n">
        <f aca="false">X70*INPUT!$B$57*INPUT!$B$58</f>
        <v>5000</v>
      </c>
      <c r="Y71" s="12" t="n">
        <f aca="false">Y70*INPUT!$B$57*INPUT!$B$58</f>
        <v>5000</v>
      </c>
      <c r="Z71" s="12" t="n">
        <f aca="false">Z70*INPUT!$B$57*INPUT!$B$58</f>
        <v>5000</v>
      </c>
      <c r="AA71" s="12" t="n">
        <f aca="false">AA70*INPUT!$B$57*INPUT!$B$58</f>
        <v>5000</v>
      </c>
      <c r="AB71" s="12" t="n">
        <f aca="false">AB70*INPUT!$B$57*INPUT!$B$58</f>
        <v>5000</v>
      </c>
      <c r="AC71" s="12" t="n">
        <f aca="false">AC70*INPUT!$B$57*INPUT!$B$58</f>
        <v>5000</v>
      </c>
      <c r="AD71" s="12" t="n">
        <f aca="false">AD70*INPUT!$B$57*INPUT!$B$58</f>
        <v>5000</v>
      </c>
      <c r="AE71" s="12" t="n">
        <f aca="false">AE70*INPUT!$B$57*INPUT!$B$58</f>
        <v>5000</v>
      </c>
      <c r="AF71" s="12" t="n">
        <f aca="false">AF70*INPUT!$B$57*INPUT!$B$58</f>
        <v>5000</v>
      </c>
      <c r="AG71" s="12" t="n">
        <f aca="false">AG70*INPUT!$B$57*INPUT!$B$58</f>
        <v>5000</v>
      </c>
      <c r="AH71" s="12" t="n">
        <f aca="false">AH70*INPUT!$B$57*INPUT!$B$58</f>
        <v>5000</v>
      </c>
      <c r="AI71" s="12" t="n">
        <f aca="false">AI70*INPUT!$B$57*INPUT!$B$58</f>
        <v>5000</v>
      </c>
      <c r="AJ71" s="12" t="n">
        <f aca="false">AJ70*INPUT!$B$57*INPUT!$B$58</f>
        <v>5000</v>
      </c>
      <c r="AK71" s="12" t="n">
        <f aca="false">AK70*INPUT!$B$57*INPUT!$B$58</f>
        <v>5000</v>
      </c>
      <c r="AL71" s="12" t="n">
        <f aca="false">AL70*INPUT!$B$57*INPUT!$B$58</f>
        <v>5000</v>
      </c>
      <c r="AM71" s="12" t="n">
        <f aca="false">AM70*INPUT!$B$57*INPUT!$B$58</f>
        <v>5000</v>
      </c>
      <c r="AN71" s="12" t="n">
        <f aca="false">AN70*INPUT!$B$57*INPUT!$B$58</f>
        <v>5000</v>
      </c>
      <c r="AO71" s="12" t="n">
        <f aca="false">AO70*INPUT!$B$57*INPUT!$B$58</f>
        <v>5000</v>
      </c>
      <c r="AP71" s="12" t="n">
        <f aca="false">AP70*INPUT!$B$57*INPUT!$B$58</f>
        <v>5000</v>
      </c>
      <c r="AQ71" s="12" t="n">
        <f aca="false">AQ70*INPUT!$B$57*INPUT!$B$58</f>
        <v>5000</v>
      </c>
      <c r="AR71" s="12" t="n">
        <f aca="false">AR70*INPUT!$B$57*INPUT!$B$58</f>
        <v>5000</v>
      </c>
      <c r="AS71" s="12" t="n">
        <f aca="false">AS70*INPUT!$B$57*INPUT!$B$58</f>
        <v>5000</v>
      </c>
      <c r="AT71" s="12" t="n">
        <f aca="false">AT70*INPUT!$B$57*INPUT!$B$58</f>
        <v>5000</v>
      </c>
      <c r="AU71" s="12" t="n">
        <f aca="false">AU70*INPUT!$B$57*INPUT!$B$58</f>
        <v>5000</v>
      </c>
      <c r="AV71" s="12" t="n">
        <f aca="false">AV70*INPUT!$B$57*INPUT!$B$58</f>
        <v>5000</v>
      </c>
      <c r="AW71" s="12" t="n">
        <f aca="false">AW70*INPUT!$B$57*INPUT!$B$58</f>
        <v>5000</v>
      </c>
      <c r="AX71" s="12" t="n">
        <f aca="false">AX70*INPUT!$B$57*INPUT!$B$58</f>
        <v>5000</v>
      </c>
      <c r="AY71" s="12" t="n">
        <f aca="false">AY70*INPUT!$B$57*INPUT!$B$58</f>
        <v>5000</v>
      </c>
      <c r="AZ71" s="12" t="n">
        <f aca="false">AZ70*INPUT!$B$57*INPUT!$B$58</f>
        <v>5000</v>
      </c>
      <c r="BA71" s="12" t="n">
        <f aca="false">BA70*INPUT!$B$57*INPUT!$B$58</f>
        <v>5000</v>
      </c>
      <c r="BB71" s="12" t="n">
        <f aca="false">BB70*INPUT!$B$57*INPUT!$B$58</f>
        <v>5000</v>
      </c>
      <c r="BC71" s="12" t="n">
        <f aca="false">BC70*INPUT!$B$57*INPUT!$B$58</f>
        <v>5000</v>
      </c>
      <c r="BD71" s="12" t="n">
        <f aca="false">BD70*INPUT!$B$57*INPUT!$B$58</f>
        <v>5000</v>
      </c>
      <c r="BE71" s="12" t="n">
        <f aca="false">BE70*INPUT!$B$57*INPUT!$B$58</f>
        <v>5000</v>
      </c>
      <c r="BF71" s="12" t="n">
        <f aca="false">BF70*INPUT!$B$57*INPUT!$B$58</f>
        <v>5000</v>
      </c>
      <c r="BG71" s="12" t="n">
        <f aca="false">BG70*INPUT!$B$57*INPUT!$B$58</f>
        <v>5000</v>
      </c>
      <c r="BH71" s="12" t="n">
        <f aca="false">BH70*INPUT!$B$57*INPUT!$B$58</f>
        <v>5000</v>
      </c>
      <c r="BI71" s="12" t="n">
        <f aca="false">BI70*INPUT!$B$57*INPUT!$B$58</f>
        <v>5000</v>
      </c>
    </row>
    <row r="72" customFormat="false" ht="15" hidden="false" customHeight="true" outlineLevel="0" collapsed="false">
      <c r="A72" s="4" t="s">
        <v>46</v>
      </c>
      <c r="B72" s="10" t="n">
        <f aca="false">B68-B71</f>
        <v>903.782560460362</v>
      </c>
      <c r="C72" s="10" t="n">
        <f aca="false">C68-C71</f>
        <v>1479.53085046619</v>
      </c>
      <c r="D72" s="10" t="n">
        <f aca="false">D68-D71</f>
        <v>8681.58296615501</v>
      </c>
      <c r="E72" s="10" t="n">
        <f aca="false">E68-E71</f>
        <v>15477.4033109157</v>
      </c>
      <c r="F72" s="10" t="n">
        <f aca="false">F68-F71</f>
        <v>21911.7950381687</v>
      </c>
      <c r="G72" s="10" t="n">
        <f aca="false">G68-G71</f>
        <v>18440.9502060681</v>
      </c>
      <c r="H72" s="10" t="n">
        <f aca="false">H68-H71</f>
        <v>24266.4139768546</v>
      </c>
      <c r="I72" s="10" t="n">
        <f aca="false">I68-I71</f>
        <v>29835.6398405888</v>
      </c>
      <c r="J72" s="10" t="n">
        <f aca="false">J68-J71</f>
        <v>35175.8116054639</v>
      </c>
      <c r="K72" s="10" t="n">
        <f aca="false">K68-K71</f>
        <v>40310.9401412062</v>
      </c>
      <c r="L72" s="10" t="n">
        <f aca="false">L68-L71</f>
        <v>45262.2419037284</v>
      </c>
      <c r="M72" s="10" t="n">
        <f aca="false">M68-M71</f>
        <v>50048.472092523</v>
      </c>
      <c r="N72" s="10" t="n">
        <f aca="false">N68-N71</f>
        <v>38070.8936962892</v>
      </c>
      <c r="O72" s="10" t="n">
        <f aca="false">O68-O71</f>
        <v>51648.0189244605</v>
      </c>
      <c r="P72" s="10" t="n">
        <f aca="false">P68-P71</f>
        <v>64540.6600662763</v>
      </c>
      <c r="Q72" s="10" t="n">
        <f aca="false">Q68-Q71</f>
        <v>76822.6420545167</v>
      </c>
      <c r="R72" s="10" t="n">
        <f aca="false">R68-R71</f>
        <v>88559.1386589681</v>
      </c>
      <c r="S72" s="10" t="n">
        <f aca="false">S68-S71</f>
        <v>99807.7054302582</v>
      </c>
      <c r="T72" s="10" t="n">
        <f aca="false">T68-T71</f>
        <v>110619.188820325</v>
      </c>
      <c r="U72" s="10" t="n">
        <f aca="false">U68-U71</f>
        <v>121038.526335076</v>
      </c>
      <c r="V72" s="10" t="n">
        <f aca="false">V68-V71</f>
        <v>131105.450792204</v>
      </c>
      <c r="W72" s="10" t="n">
        <f aca="false">W68-W71</f>
        <v>140855.110188464</v>
      </c>
      <c r="X72" s="10" t="n">
        <f aca="false">X68-X71</f>
        <v>150318.613300253</v>
      </c>
      <c r="Y72" s="10" t="n">
        <f aca="false">Y68-Y71</f>
        <v>159523.509926574</v>
      </c>
      <c r="Z72" s="10" t="n">
        <f aca="false">Z68-Z71</f>
        <v>124110.444212926</v>
      </c>
      <c r="AA72" s="10" t="n">
        <f aca="false">AA68-AA71</f>
        <v>139187.78502365</v>
      </c>
      <c r="AB72" s="10" t="n">
        <f aca="false">AB68-AB71</f>
        <v>153468.983647461</v>
      </c>
      <c r="AC72" s="10" t="n">
        <f aca="false">AC68-AC71</f>
        <v>167038.030758545</v>
      </c>
      <c r="AD72" s="10" t="n">
        <f aca="false">AD68-AD71</f>
        <v>179969.126809895</v>
      </c>
      <c r="AE72" s="10" t="n">
        <f aca="false">AE68-AE71</f>
        <v>192327.849643354</v>
      </c>
      <c r="AF72" s="10" t="n">
        <f aca="false">AF68-AF71</f>
        <v>204172.182166881</v>
      </c>
      <c r="AG72" s="10" t="n">
        <f aca="false">AG68-AG71</f>
        <v>215553.416886431</v>
      </c>
      <c r="AH72" s="10" t="n">
        <f aca="false">AH68-AH71</f>
        <v>226516.952065529</v>
      </c>
      <c r="AI72" s="10" t="n">
        <f aca="false">AI68-AI71</f>
        <v>237102.992512898</v>
      </c>
      <c r="AJ72" s="10" t="n">
        <f aca="false">AJ68-AJ71</f>
        <v>247347.166438618</v>
      </c>
      <c r="AK72" s="10" t="n">
        <f aca="false">AK68-AK71</f>
        <v>257281.068446505</v>
      </c>
      <c r="AL72" s="10" t="n">
        <f aca="false">AL68-AL71</f>
        <v>251324.723061815</v>
      </c>
      <c r="AM72" s="10" t="n">
        <f aca="false">AM68-AM71</f>
        <v>271269.8564186</v>
      </c>
      <c r="AN72" s="10" t="n">
        <f aca="false">AN68-AN71</f>
        <v>290052.488034193</v>
      </c>
      <c r="AO72" s="10" t="n">
        <f aca="false">AO68-AO71</f>
        <v>307795.605792945</v>
      </c>
      <c r="AP72" s="10" t="n">
        <f aca="false">AP68-AP71</f>
        <v>324607.8518412</v>
      </c>
      <c r="AQ72" s="10" t="n">
        <f aca="false">AQ68-AQ71</f>
        <v>340585.233755654</v>
      </c>
      <c r="AR72" s="10" t="n">
        <f aca="false">AR68-AR71</f>
        <v>355812.630629511</v>
      </c>
      <c r="AS72" s="10" t="n">
        <f aca="false">AS68-AS71</f>
        <v>370365.118679863</v>
      </c>
      <c r="AT72" s="10" t="n">
        <f aca="false">AT68-AT71</f>
        <v>384309.138027446</v>
      </c>
      <c r="AU72" s="10" t="n">
        <f aca="false">AU68-AU71</f>
        <v>397703.519701959</v>
      </c>
      <c r="AV72" s="10" t="n">
        <f aca="false">AV68-AV71</f>
        <v>410600.389639904</v>
      </c>
      <c r="AW72" s="10" t="n">
        <f aca="false">AW68-AW71</f>
        <v>423045.964430008</v>
      </c>
      <c r="AX72" s="10" t="n">
        <f aca="false">AX68-AX71</f>
        <v>426324.916877042</v>
      </c>
      <c r="AY72" s="10" t="n">
        <f aca="false">AY68-AY71</f>
        <v>448549.950552356</v>
      </c>
      <c r="AZ72" s="10" t="n">
        <f aca="false">AZ68-AZ71</f>
        <v>469549.569000074</v>
      </c>
      <c r="BA72" s="10" t="n">
        <f aca="false">BA68-BA71</f>
        <v>489450.858917669</v>
      </c>
      <c r="BB72" s="10" t="n">
        <f aca="false">BB68-BB71</f>
        <v>508366.155677168</v>
      </c>
      <c r="BC72" s="10" t="n">
        <f aca="false">BC68-BC71</f>
        <v>526394.801007241</v>
      </c>
      <c r="BD72" s="10" t="n">
        <f aca="false">BD68-BD71</f>
        <v>543624.690065376</v>
      </c>
      <c r="BE72" s="10" t="n">
        <f aca="false">BE68-BE71</f>
        <v>560133.633165515</v>
      </c>
      <c r="BF72" s="10" t="n">
        <f aca="false">BF68-BF71</f>
        <v>575990.554394892</v>
      </c>
      <c r="BG72" s="10" t="n">
        <f aca="false">BG68-BG71</f>
        <v>591256.546685967</v>
      </c>
      <c r="BH72" s="10" t="n">
        <f aca="false">BH68-BH71</f>
        <v>605985.800561606</v>
      </c>
      <c r="BI72" s="10" t="n">
        <f aca="false">BI68-BI71</f>
        <v>620226.421705675</v>
      </c>
    </row>
    <row r="73" customFormat="false" ht="15" hidden="false" customHeight="true" outlineLevel="0" collapsed="false">
      <c r="A73" s="7" t="s">
        <v>449</v>
      </c>
      <c r="B73" s="8"/>
      <c r="C73" s="8"/>
      <c r="D73" s="8"/>
      <c r="E73" s="8"/>
      <c r="F73" s="8"/>
      <c r="G73" s="8"/>
    </row>
    <row r="74" customFormat="false" ht="15" hidden="false" customHeight="true" outlineLevel="0" collapsed="false">
      <c r="A74" s="6" t="s">
        <v>450</v>
      </c>
      <c r="B74" s="22" t="n">
        <f aca="false">SUM(C49:E49)</f>
        <v>2421.54680492308</v>
      </c>
      <c r="C74" s="22" t="n">
        <f aca="false">SUM(D49:F49)</f>
        <v>2759.98474602462</v>
      </c>
      <c r="D74" s="22" t="n">
        <f aca="false">SUM(E49:G49)</f>
        <v>3084.57566544397</v>
      </c>
      <c r="E74" s="22" t="n">
        <f aca="false">SUM(F49:H49)</f>
        <v>3396.77275500175</v>
      </c>
      <c r="F74" s="22" t="n">
        <f aca="false">SUM(G49:I49)</f>
        <v>3697.86003476963</v>
      </c>
      <c r="G74" s="22" t="n">
        <f aca="false">SUM(H49:J49)</f>
        <v>3988.97252339847</v>
      </c>
      <c r="H74" s="22" t="n">
        <f aca="false">SUM(I49:K49)</f>
        <v>4271.11399126412</v>
      </c>
      <c r="I74" s="22" t="n">
        <f aca="false">SUM(J49:L49)</f>
        <v>4545.17258641137</v>
      </c>
      <c r="J74" s="22" t="n">
        <f aca="false">SUM(K49:M49)</f>
        <v>4811.93458848078</v>
      </c>
      <c r="K74" s="22" t="n">
        <f aca="false">SUM(L49:N49)</f>
        <v>5502.05988514658</v>
      </c>
      <c r="L74" s="22" t="n">
        <f aca="false">SUM(M49:O49)</f>
        <v>6351.35460311647</v>
      </c>
      <c r="M74" s="22" t="n">
        <f aca="false">SUM(N49:P49)</f>
        <v>7353.31381749012</v>
      </c>
      <c r="N74" s="22" t="n">
        <f aca="false">SUM(O49:Q49)</f>
        <v>8072.15751425046</v>
      </c>
      <c r="O74" s="22" t="n">
        <f aca="false">SUM(P49:R49)</f>
        <v>8767.48832995665</v>
      </c>
      <c r="P74" s="22" t="n">
        <f aca="false">SUM(Q49:S49)</f>
        <v>9441.68751377127</v>
      </c>
      <c r="Q74" s="22" t="n">
        <f aca="false">SUM(R49:T49)</f>
        <v>10096.8615723715</v>
      </c>
      <c r="R74" s="22" t="n">
        <f aca="false">SUM(S49:U49)</f>
        <v>10734.8749638619</v>
      </c>
      <c r="S74" s="22" t="n">
        <f aca="false">SUM(T49:V49)</f>
        <v>11357.3788752977</v>
      </c>
      <c r="T74" s="22" t="n">
        <f aca="false">SUM(U49:W49)</f>
        <v>11965.8365536122</v>
      </c>
      <c r="U74" s="22" t="n">
        <f aca="false">SUM(V49:X49)</f>
        <v>12561.5456033739</v>
      </c>
      <c r="V74" s="22" t="n">
        <f aca="false">SUM(W49:Y49)</f>
        <v>13145.6576151878</v>
      </c>
      <c r="W74" s="22" t="n">
        <f aca="false">SUM(X49:Z49)</f>
        <v>14493.4414766532</v>
      </c>
      <c r="X74" s="22" t="n">
        <f aca="false">SUM(Y49:AA49)</f>
        <v>15962.7789174637</v>
      </c>
      <c r="Y74" s="22" t="n">
        <f aca="false">SUM(Z49:AB49)</f>
        <v>17546.9497696093</v>
      </c>
      <c r="Z74" s="22" t="n">
        <f aca="false">SUM(AA49:AC49)</f>
        <v>18465.7087719573</v>
      </c>
      <c r="AA74" s="22" t="n">
        <f aca="false">SUM(AB49:AD49)</f>
        <v>19356.7208613226</v>
      </c>
      <c r="AB74" s="22" t="n">
        <f aca="false">SUM(AC49:AE49)</f>
        <v>20222.7150005808</v>
      </c>
      <c r="AC74" s="22" t="n">
        <f aca="false">SUM(AD49:AF49)</f>
        <v>21066.1076937292</v>
      </c>
      <c r="AD74" s="22" t="n">
        <f aca="false">SUM(AE49:AG49)</f>
        <v>21889.040105536</v>
      </c>
      <c r="AE74" s="22" t="n">
        <f aca="false">SUM(AF49:AH49)</f>
        <v>22693.4107362163</v>
      </c>
      <c r="AF74" s="22" t="n">
        <f aca="false">SUM(AG49:AI49)</f>
        <v>23480.904184298</v>
      </c>
      <c r="AG74" s="22" t="n">
        <f aca="false">SUM(AH49:AJ49)</f>
        <v>24253.0164668659</v>
      </c>
      <c r="AH74" s="22" t="n">
        <f aca="false">SUM(AI49:AK49)</f>
        <v>25011.0773100753</v>
      </c>
      <c r="AI74" s="22" t="n">
        <f aca="false">SUM(AJ49:AL49)</f>
        <v>26667.0817390973</v>
      </c>
      <c r="AJ74" s="22" t="n">
        <f aca="false">SUM(AK49:AM49)</f>
        <v>28466.3598684467</v>
      </c>
      <c r="AK74" s="22" t="n">
        <f aca="false">SUM(AL49:AN49)</f>
        <v>30398.1563426265</v>
      </c>
      <c r="AL74" s="22" t="n">
        <f aca="false">SUM(AM49:AO49)</f>
        <v>31542.064345774</v>
      </c>
      <c r="AM74" s="22" t="n">
        <f aca="false">SUM(AN49:AP49)</f>
        <v>32645.2370816168</v>
      </c>
      <c r="AN74" s="22" t="n">
        <f aca="false">SUM(AO49:AQ49)</f>
        <v>33711.7037774045</v>
      </c>
      <c r="AO74" s="22" t="n">
        <f aca="false">SUM(AP49:AR49)</f>
        <v>34745.0316282376</v>
      </c>
      <c r="AP74" s="22" t="n">
        <f aca="false">SUM(AQ49:AS49)</f>
        <v>35748.3807040472</v>
      </c>
      <c r="AQ74" s="22" t="n">
        <f aca="false">SUM(AR49:AT49)</f>
        <v>36724.5522811591</v>
      </c>
      <c r="AR74" s="22" t="n">
        <f aca="false">SUM(AS49:AU49)</f>
        <v>37676.0313871572</v>
      </c>
      <c r="AS74" s="22" t="n">
        <f aca="false">SUM(AT49:AV49)</f>
        <v>38605.0242531216</v>
      </c>
      <c r="AT74" s="22" t="n">
        <f aca="false">SUM(AU49:AW49)</f>
        <v>39513.4912840391</v>
      </c>
      <c r="AU74" s="22" t="n">
        <f aca="false">SUM(AV49:AX49)</f>
        <v>41556.3918968596</v>
      </c>
      <c r="AV74" s="22" t="n">
        <f aca="false">SUM(AW49:AY49)</f>
        <v>43744.0470624604</v>
      </c>
      <c r="AW74" s="22" t="n">
        <f aca="false">SUM(AX49:AZ49)</f>
        <v>46066.7412814568</v>
      </c>
      <c r="AX74" s="22" t="n">
        <f aca="false">SUM(AY49:BA49)</f>
        <v>47362.5879137507</v>
      </c>
      <c r="AY74" s="22" t="n">
        <f aca="false">SUM(AZ49:BB49)</f>
        <v>48615.0698605175</v>
      </c>
      <c r="AZ74" s="22" t="n">
        <f aca="false">SUM(BA49:BC49)</f>
        <v>49828.352361262</v>
      </c>
      <c r="BA74" s="22" t="n">
        <f aca="false">SUM(BB49:BD49)</f>
        <v>51006.1267898169</v>
      </c>
      <c r="BB74" s="22" t="n">
        <f aca="false">SUM(BC49:BE49)</f>
        <v>52151.6668691476</v>
      </c>
      <c r="BC74" s="22" t="n">
        <f aca="false">SUM(BD49:BF49)</f>
        <v>53267.8781566059</v>
      </c>
      <c r="BD74" s="22" t="n">
        <f aca="false">SUM(BE49:BG49)</f>
        <v>54357.3416067753</v>
      </c>
      <c r="BE74" s="22" t="n">
        <f aca="false">SUM(BF49:BH49)</f>
        <v>55422.3519222003</v>
      </c>
      <c r="BF74" s="22" t="n">
        <f aca="false">SUM(BG49:BI49)</f>
        <v>56464.9513170683</v>
      </c>
      <c r="BG74" s="22" t="n">
        <f aca="false">SUM(BH49:BJ49)</f>
        <v>37988.3521141904</v>
      </c>
      <c r="BH74" s="22" t="n">
        <f aca="false">SUM(BI49:BK49)</f>
        <v>19164.4209769132</v>
      </c>
      <c r="BI74" s="22" t="n">
        <f aca="false">SUM(BJ49:BL49)</f>
        <v>0</v>
      </c>
    </row>
    <row r="75" customFormat="false" ht="15" hidden="false" customHeight="true" outlineLevel="0" collapsed="false">
      <c r="A75" s="6" t="s">
        <v>451</v>
      </c>
      <c r="B75" s="22" t="n">
        <f aca="false">0</f>
        <v>0</v>
      </c>
      <c r="C75" s="22" t="n">
        <f aca="false">0</f>
        <v>0</v>
      </c>
      <c r="D75" s="22" t="n">
        <f aca="false">B77</f>
        <v>1000</v>
      </c>
      <c r="E75" s="22" t="n">
        <f aca="false">C77</f>
        <v>2000</v>
      </c>
      <c r="F75" s="22" t="n">
        <f aca="false">D77</f>
        <v>0</v>
      </c>
      <c r="G75" s="22" t="n">
        <f aca="false">E77</f>
        <v>0</v>
      </c>
      <c r="H75" s="22" t="n">
        <f aca="false">F77</f>
        <v>0</v>
      </c>
      <c r="I75" s="22" t="n">
        <f aca="false">G77</f>
        <v>2000</v>
      </c>
      <c r="J75" s="22" t="n">
        <f aca="false">H77</f>
        <v>1000</v>
      </c>
      <c r="K75" s="22" t="n">
        <f aca="false">I77</f>
        <v>0</v>
      </c>
      <c r="L75" s="22" t="n">
        <f aca="false">J77</f>
        <v>0</v>
      </c>
      <c r="M75" s="22" t="n">
        <f aca="false">K77</f>
        <v>3000</v>
      </c>
      <c r="N75" s="22" t="n">
        <f aca="false">L77</f>
        <v>2000</v>
      </c>
      <c r="O75" s="22" t="n">
        <f aca="false">M77</f>
        <v>0</v>
      </c>
      <c r="P75" s="22" t="n">
        <f aca="false">N77</f>
        <v>1000</v>
      </c>
      <c r="Q75" s="22" t="n">
        <f aca="false">O77</f>
        <v>3000</v>
      </c>
      <c r="R75" s="22" t="n">
        <f aca="false">P77</f>
        <v>2000</v>
      </c>
      <c r="S75" s="22" t="n">
        <f aca="false">Q77</f>
        <v>1000</v>
      </c>
      <c r="T75" s="22" t="n">
        <f aca="false">R77</f>
        <v>2000</v>
      </c>
      <c r="U75" s="22" t="n">
        <f aca="false">S77</f>
        <v>3000</v>
      </c>
      <c r="V75" s="22" t="n">
        <f aca="false">T77</f>
        <v>2000</v>
      </c>
      <c r="W75" s="22" t="n">
        <f aca="false">U77</f>
        <v>1000</v>
      </c>
      <c r="X75" s="22" t="n">
        <f aca="false">V77</f>
        <v>3000</v>
      </c>
      <c r="Y75" s="22" t="n">
        <f aca="false">W77</f>
        <v>4000</v>
      </c>
      <c r="Z75" s="22" t="n">
        <f aca="false">X77</f>
        <v>3000</v>
      </c>
      <c r="AA75" s="22" t="n">
        <f aca="false">Y77</f>
        <v>2000</v>
      </c>
      <c r="AB75" s="22" t="n">
        <f aca="false">Z77</f>
        <v>4000</v>
      </c>
      <c r="AC75" s="22" t="n">
        <f aca="false">AA77</f>
        <v>4000</v>
      </c>
      <c r="AD75" s="22" t="n">
        <f aca="false">AB77</f>
        <v>4000</v>
      </c>
      <c r="AE75" s="22" t="n">
        <f aca="false">AC77</f>
        <v>3000</v>
      </c>
      <c r="AF75" s="22" t="n">
        <f aca="false">AD77</f>
        <v>3000</v>
      </c>
      <c r="AG75" s="22" t="n">
        <f aca="false">AE77</f>
        <v>5000</v>
      </c>
      <c r="AH75" s="22" t="n">
        <f aca="false">AF77</f>
        <v>5000</v>
      </c>
      <c r="AI75" s="22" t="n">
        <f aca="false">AG77</f>
        <v>4000</v>
      </c>
      <c r="AJ75" s="22" t="n">
        <f aca="false">AH77</f>
        <v>3000</v>
      </c>
      <c r="AK75" s="22" t="n">
        <f aca="false">AI77</f>
        <v>6000</v>
      </c>
      <c r="AL75" s="22" t="n">
        <f aca="false">AJ77</f>
        <v>7000</v>
      </c>
      <c r="AM75" s="22" t="n">
        <f aca="false">AK77</f>
        <v>5000</v>
      </c>
      <c r="AN75" s="22" t="n">
        <f aca="false">AL77</f>
        <v>4000</v>
      </c>
      <c r="AO75" s="22" t="n">
        <f aca="false">AM77</f>
        <v>6000</v>
      </c>
      <c r="AP75" s="22" t="n">
        <f aca="false">AN77</f>
        <v>7000</v>
      </c>
      <c r="AQ75" s="22" t="n">
        <f aca="false">AO77</f>
        <v>6000</v>
      </c>
      <c r="AR75" s="22" t="n">
        <f aca="false">AP77</f>
        <v>5000</v>
      </c>
      <c r="AS75" s="22" t="n">
        <f aca="false">AQ77</f>
        <v>7000</v>
      </c>
      <c r="AT75" s="22" t="n">
        <f aca="false">AR77</f>
        <v>8000</v>
      </c>
      <c r="AU75" s="22" t="n">
        <f aca="false">AS77</f>
        <v>6000</v>
      </c>
      <c r="AV75" s="22" t="n">
        <f aca="false">AT77</f>
        <v>6000</v>
      </c>
      <c r="AW75" s="22" t="n">
        <f aca="false">AU77</f>
        <v>8000</v>
      </c>
      <c r="AX75" s="22" t="n">
        <f aca="false">AV77</f>
        <v>10000</v>
      </c>
      <c r="AY75" s="22" t="n">
        <f aca="false">AW77</f>
        <v>8000</v>
      </c>
      <c r="AZ75" s="22" t="n">
        <f aca="false">AX77</f>
        <v>6000</v>
      </c>
      <c r="BA75" s="22" t="n">
        <f aca="false">AY77</f>
        <v>8000</v>
      </c>
      <c r="BB75" s="22" t="n">
        <f aca="false">AZ77</f>
        <v>11000</v>
      </c>
      <c r="BC75" s="22" t="n">
        <f aca="false">BA77</f>
        <v>10000</v>
      </c>
      <c r="BD75" s="22" t="n">
        <f aca="false">BB77</f>
        <v>7000</v>
      </c>
      <c r="BE75" s="22" t="n">
        <f aca="false">BC77</f>
        <v>8000</v>
      </c>
      <c r="BF75" s="22" t="n">
        <f aca="false">BD77</f>
        <v>11000</v>
      </c>
      <c r="BG75" s="22" t="n">
        <f aca="false">BE77</f>
        <v>11000</v>
      </c>
      <c r="BH75" s="22" t="n">
        <f aca="false">BF77</f>
        <v>8000</v>
      </c>
      <c r="BI75" s="22" t="n">
        <f aca="false">BG77</f>
        <v>0</v>
      </c>
    </row>
    <row r="76" customFormat="false" ht="15" hidden="false" customHeight="true" outlineLevel="0" collapsed="false">
      <c r="A76" s="6" t="s">
        <v>452</v>
      </c>
      <c r="B76" s="22" t="n">
        <f aca="false">INPUT!$B$73+B75-B49</f>
        <v>1432.40384615385</v>
      </c>
      <c r="C76" s="22" t="n">
        <f aca="false">B78+C75-C49</f>
        <v>1741.27903846154</v>
      </c>
      <c r="D76" s="22" t="n">
        <f aca="false">C78+D75-D49</f>
        <v>3932.38343846154</v>
      </c>
      <c r="E76" s="22" t="n">
        <f aca="false">D78+E75-E49</f>
        <v>5010.85704123077</v>
      </c>
      <c r="F76" s="22" t="n">
        <f aca="false">E78+F75-F49</f>
        <v>3981.29429243692</v>
      </c>
      <c r="G76" s="22" t="n">
        <f aca="false">F78+G75-G49</f>
        <v>2847.80777301757</v>
      </c>
      <c r="H76" s="22" t="n">
        <f aca="false">G78+H75-H49</f>
        <v>3614.08428622902</v>
      </c>
      <c r="I76" s="22" t="n">
        <f aca="false">H78+I75-I49</f>
        <v>5283.43425766729</v>
      </c>
      <c r="J76" s="22" t="n">
        <f aca="false">I78+J75-J49</f>
        <v>4858.8352496191</v>
      </c>
      <c r="K76" s="22" t="n">
        <f aca="false">J78+K75-K49</f>
        <v>3342.97029496489</v>
      </c>
      <c r="L76" s="22" t="n">
        <f aca="false">K78+L75-L49</f>
        <v>4738.26167125592</v>
      </c>
      <c r="M76" s="22" t="n">
        <f aca="false">L78+M75-M49</f>
        <v>8046.90066113832</v>
      </c>
      <c r="N76" s="22" t="n">
        <f aca="false">M78+N75-N49</f>
        <v>7840.91040981832</v>
      </c>
      <c r="O76" s="22" t="n">
        <f aca="false">N78+O75-O49</f>
        <v>6386.90706813946</v>
      </c>
      <c r="P76" s="22" t="n">
        <f aca="false">O78+P75-P49</f>
        <v>7693.5868436482</v>
      </c>
      <c r="Q76" s="22" t="n">
        <f aca="false">P78+Q75-Q49</f>
        <v>9768.75289556786</v>
      </c>
      <c r="R76" s="22" t="n">
        <f aca="false">Q78+R75-R49</f>
        <v>9619.4187381828</v>
      </c>
      <c r="S76" s="22" t="n">
        <f aca="false">R78+S75-S49</f>
        <v>9251.89932987693</v>
      </c>
      <c r="T76" s="22" t="n">
        <f aca="false">S78+T75-T49</f>
        <v>10671.8913231964</v>
      </c>
      <c r="U76" s="22" t="n">
        <f aca="false">T78+U75-U49</f>
        <v>11884.5437743209</v>
      </c>
      <c r="V76" s="22" t="n">
        <f aca="false">U78+V75-V49</f>
        <v>10894.5204545793</v>
      </c>
      <c r="W76" s="22" t="n">
        <f aca="false">V78+W75-W49</f>
        <v>10706.0547695842</v>
      </c>
      <c r="X76" s="22" t="n">
        <f aca="false">W78+X75-X49</f>
        <v>13322.998170947</v>
      </c>
      <c r="Y76" s="22" t="n">
        <f aca="false">X78+Y75-Y49</f>
        <v>15748.8628393915</v>
      </c>
      <c r="Z76" s="22" t="n">
        <f aca="false">Y78+Z75-Z49</f>
        <v>15212.613292931</v>
      </c>
      <c r="AA76" s="22" t="n">
        <f aca="false">Z78+AA75-AA49</f>
        <v>15360.2192534833</v>
      </c>
      <c r="AB76" s="22" t="n">
        <f aca="false">AA78+AB75-AB49</f>
        <v>17201.9130697822</v>
      </c>
      <c r="AC76" s="22" t="n">
        <f aca="false">AB78+AC75-AC49</f>
        <v>18746.9045209737</v>
      </c>
      <c r="AD76" s="22" t="n">
        <f aca="false">AC78+AD75-AD49</f>
        <v>19003.4983921607</v>
      </c>
      <c r="AE76" s="22" t="n">
        <f aca="false">AD78+AE75-AE49</f>
        <v>17979.1980692014</v>
      </c>
      <c r="AF76" s="22" t="n">
        <f aca="false">AE78+AF75-AF49</f>
        <v>18680.7968272445</v>
      </c>
      <c r="AG76" s="22" t="n">
        <f aca="false">AF78+AG75-AG49</f>
        <v>21114.4582866247</v>
      </c>
      <c r="AH76" s="22" t="n">
        <f aca="false">AG78+AH75-AH49</f>
        <v>22285.7873329851</v>
      </c>
      <c r="AI76" s="22" t="n">
        <f aca="false">AH78+AI75-AI49</f>
        <v>21199.8926429465</v>
      </c>
      <c r="AJ76" s="22" t="n">
        <f aca="false">AI78+AJ75-AJ49</f>
        <v>21861.4418197588</v>
      </c>
      <c r="AK76" s="22" t="n">
        <f aca="false">AJ78+AK75-AK49</f>
        <v>26274.7100229098</v>
      </c>
      <c r="AL76" s="22" t="n">
        <f aca="false">AK78+AL75-AL49</f>
        <v>28532.8109038492</v>
      </c>
      <c r="AM76" s="22" t="n">
        <f aca="false">AL78+AM75-AM49</f>
        <v>27395.0819513121</v>
      </c>
      <c r="AN76" s="22" t="n">
        <f aca="false">AM78+AN75-AN49</f>
        <v>26876.5536802833</v>
      </c>
      <c r="AO76" s="22" t="n">
        <f aca="false">AN78+AO75-AO49</f>
        <v>28990.7465580752</v>
      </c>
      <c r="AP76" s="22" t="n">
        <f aca="false">AO78+AP75-AP49</f>
        <v>30749.8448696953</v>
      </c>
      <c r="AQ76" s="22" t="n">
        <f aca="false">AP78+AQ75-AQ49</f>
        <v>30164.8499028788</v>
      </c>
      <c r="AR76" s="22" t="n">
        <f aca="false">AQ78+AR75-AR49</f>
        <v>30245.7149298376</v>
      </c>
      <c r="AS76" s="22" t="n">
        <f aca="false">AR78+AS75-AS49</f>
        <v>33001.4641656482</v>
      </c>
      <c r="AT76" s="22" t="n">
        <f aca="false">AS78+AT75-AT49</f>
        <v>34440.2976217197</v>
      </c>
      <c r="AU76" s="22" t="n">
        <f aca="false">AT78+AU75-AU49</f>
        <v>33569.6835426804</v>
      </c>
      <c r="AV76" s="22" t="n">
        <f aca="false">AU78+AV75-AV49</f>
        <v>34396.4399125266</v>
      </c>
      <c r="AW76" s="22" t="n">
        <f aca="false">AV78+AW75-AW49</f>
        <v>38926.8063376806</v>
      </c>
      <c r="AX76" s="22" t="n">
        <f aca="false">AW78+AX75-AX49</f>
        <v>42013.2916458208</v>
      </c>
      <c r="AY76" s="22" t="n">
        <f aca="false">AX78+AY75-AY49</f>
        <v>40652.3928500662</v>
      </c>
      <c r="AZ76" s="22" t="n">
        <f aca="false">AY78+AZ75-AZ49</f>
        <v>38860.0650562238</v>
      </c>
      <c r="BA76" s="22" t="n">
        <f aca="false">AZ78+BA75-BA49</f>
        <v>41650.7037320702</v>
      </c>
      <c r="BB76" s="22" t="n">
        <f aca="false">BA78+BB75-BB49</f>
        <v>46037.3229895487</v>
      </c>
      <c r="BC76" s="22" t="n">
        <f aca="false">BB78+BC75-BC49</f>
        <v>46031.7126949618</v>
      </c>
      <c r="BD76" s="22" t="n">
        <f aca="false">BC78+BD75-BD49</f>
        <v>43644.5769422533</v>
      </c>
      <c r="BE76" s="22" t="n">
        <f aca="false">BD78+BE75-BE49</f>
        <v>44885.6561204011</v>
      </c>
      <c r="BF76" s="22" t="n">
        <f aca="false">BE78+BF75-BF49</f>
        <v>48763.8345383559</v>
      </c>
      <c r="BG76" s="22" t="n">
        <f aca="false">BF78+BG75-BG49</f>
        <v>49287.235335478</v>
      </c>
      <c r="BH76" s="22" t="n">
        <f aca="false">BG78+BH75-BH49</f>
        <v>38463.3041982008</v>
      </c>
      <c r="BI76" s="22" t="n">
        <f aca="false">BH78+BI75-BI49</f>
        <v>19298.8832212876</v>
      </c>
    </row>
    <row r="77" customFormat="false" ht="15" hidden="false" customHeight="true" outlineLevel="0" collapsed="false">
      <c r="A77" s="11" t="s">
        <v>453</v>
      </c>
      <c r="B77" s="12" t="n">
        <f aca="false">IF(B74-B76&gt;0,CEILING((B74-B76)/INPUT!$B$68,1),0)*INPUT!$B$68</f>
        <v>1000</v>
      </c>
      <c r="C77" s="12" t="n">
        <f aca="false">IF(C74-C76&gt;0,CEILING((C74-C76)/INPUT!$B$68,1),0)*INPUT!$B$68</f>
        <v>2000</v>
      </c>
      <c r="D77" s="12" t="n">
        <f aca="false">IF(D74-D76&gt;0,CEILING((D74-D76)/INPUT!$B$68,1),0)*INPUT!$B$68</f>
        <v>0</v>
      </c>
      <c r="E77" s="12" t="n">
        <f aca="false">IF(E74-E76&gt;0,CEILING((E74-E76)/INPUT!$B$68,1),0)*INPUT!$B$68</f>
        <v>0</v>
      </c>
      <c r="F77" s="12" t="n">
        <f aca="false">IF(F74-F76&gt;0,CEILING((F74-F76)/INPUT!$B$68,1),0)*INPUT!$B$68</f>
        <v>0</v>
      </c>
      <c r="G77" s="12" t="n">
        <f aca="false">IF(G74-G76&gt;0,CEILING((G74-G76)/INPUT!$B$68,1),0)*INPUT!$B$68</f>
        <v>2000</v>
      </c>
      <c r="H77" s="12" t="n">
        <f aca="false">IF(H74-H76&gt;0,CEILING((H74-H76)/INPUT!$B$68,1),0)*INPUT!$B$68</f>
        <v>1000</v>
      </c>
      <c r="I77" s="12" t="n">
        <f aca="false">IF(I74-I76&gt;0,CEILING((I74-I76)/INPUT!$B$68,1),0)*INPUT!$B$68</f>
        <v>0</v>
      </c>
      <c r="J77" s="12" t="n">
        <f aca="false">IF(J74-J76&gt;0,CEILING((J74-J76)/INPUT!$B$68,1),0)*INPUT!$B$68</f>
        <v>0</v>
      </c>
      <c r="K77" s="12" t="n">
        <f aca="false">IF(K74-K76&gt;0,CEILING((K74-K76)/INPUT!$B$68,1),0)*INPUT!$B$68</f>
        <v>3000</v>
      </c>
      <c r="L77" s="12" t="n">
        <f aca="false">IF(L74-L76&gt;0,CEILING((L74-L76)/INPUT!$B$68,1),0)*INPUT!$B$68</f>
        <v>2000</v>
      </c>
      <c r="M77" s="12" t="n">
        <f aca="false">IF(M74-M76&gt;0,CEILING((M74-M76)/INPUT!$B$68,1),0)*INPUT!$B$68</f>
        <v>0</v>
      </c>
      <c r="N77" s="12" t="n">
        <f aca="false">IF(N74-N76&gt;0,CEILING((N74-N76)/INPUT!$B$68,1),0)*INPUT!$B$68</f>
        <v>1000</v>
      </c>
      <c r="O77" s="12" t="n">
        <f aca="false">IF(O74-O76&gt;0,CEILING((O74-O76)/INPUT!$B$68,1),0)*INPUT!$B$68</f>
        <v>3000</v>
      </c>
      <c r="P77" s="12" t="n">
        <f aca="false">IF(P74-P76&gt;0,CEILING((P74-P76)/INPUT!$B$68,1),0)*INPUT!$B$68</f>
        <v>2000</v>
      </c>
      <c r="Q77" s="12" t="n">
        <f aca="false">IF(Q74-Q76&gt;0,CEILING((Q74-Q76)/INPUT!$B$68,1),0)*INPUT!$B$68</f>
        <v>1000</v>
      </c>
      <c r="R77" s="12" t="n">
        <f aca="false">IF(R74-R76&gt;0,CEILING((R74-R76)/INPUT!$B$68,1),0)*INPUT!$B$68</f>
        <v>2000</v>
      </c>
      <c r="S77" s="12" t="n">
        <f aca="false">IF(S74-S76&gt;0,CEILING((S74-S76)/INPUT!$B$68,1),0)*INPUT!$B$68</f>
        <v>3000</v>
      </c>
      <c r="T77" s="12" t="n">
        <f aca="false">IF(T74-T76&gt;0,CEILING((T74-T76)/INPUT!$B$68,1),0)*INPUT!$B$68</f>
        <v>2000</v>
      </c>
      <c r="U77" s="12" t="n">
        <f aca="false">IF(U74-U76&gt;0,CEILING((U74-U76)/INPUT!$B$68,1),0)*INPUT!$B$68</f>
        <v>1000</v>
      </c>
      <c r="V77" s="12" t="n">
        <f aca="false">IF(V74-V76&gt;0,CEILING((V74-V76)/INPUT!$B$68,1),0)*INPUT!$B$68</f>
        <v>3000</v>
      </c>
      <c r="W77" s="12" t="n">
        <f aca="false">IF(W74-W76&gt;0,CEILING((W74-W76)/INPUT!$B$68,1),0)*INPUT!$B$68</f>
        <v>4000</v>
      </c>
      <c r="X77" s="12" t="n">
        <f aca="false">IF(X74-X76&gt;0,CEILING((X74-X76)/INPUT!$B$68,1),0)*INPUT!$B$68</f>
        <v>3000</v>
      </c>
      <c r="Y77" s="12" t="n">
        <f aca="false">IF(Y74-Y76&gt;0,CEILING((Y74-Y76)/INPUT!$B$68,1),0)*INPUT!$B$68</f>
        <v>2000</v>
      </c>
      <c r="Z77" s="12" t="n">
        <f aca="false">IF(Z74-Z76&gt;0,CEILING((Z74-Z76)/INPUT!$B$68,1),0)*INPUT!$B$68</f>
        <v>4000</v>
      </c>
      <c r="AA77" s="12" t="n">
        <f aca="false">IF(AA74-AA76&gt;0,CEILING((AA74-AA76)/INPUT!$B$68,1),0)*INPUT!$B$68</f>
        <v>4000</v>
      </c>
      <c r="AB77" s="12" t="n">
        <f aca="false">IF(AB74-AB76&gt;0,CEILING((AB74-AB76)/INPUT!$B$68,1),0)*INPUT!$B$68</f>
        <v>4000</v>
      </c>
      <c r="AC77" s="12" t="n">
        <f aca="false">IF(AC74-AC76&gt;0,CEILING((AC74-AC76)/INPUT!$B$68,1),0)*INPUT!$B$68</f>
        <v>3000</v>
      </c>
      <c r="AD77" s="12" t="n">
        <f aca="false">IF(AD74-AD76&gt;0,CEILING((AD74-AD76)/INPUT!$B$68,1),0)*INPUT!$B$68</f>
        <v>3000</v>
      </c>
      <c r="AE77" s="12" t="n">
        <f aca="false">IF(AE74-AE76&gt;0,CEILING((AE74-AE76)/INPUT!$B$68,1),0)*INPUT!$B$68</f>
        <v>5000</v>
      </c>
      <c r="AF77" s="12" t="n">
        <f aca="false">IF(AF74-AF76&gt;0,CEILING((AF74-AF76)/INPUT!$B$68,1),0)*INPUT!$B$68</f>
        <v>5000</v>
      </c>
      <c r="AG77" s="12" t="n">
        <f aca="false">IF(AG74-AG76&gt;0,CEILING((AG74-AG76)/INPUT!$B$68,1),0)*INPUT!$B$68</f>
        <v>4000</v>
      </c>
      <c r="AH77" s="12" t="n">
        <f aca="false">IF(AH74-AH76&gt;0,CEILING((AH74-AH76)/INPUT!$B$68,1),0)*INPUT!$B$68</f>
        <v>3000</v>
      </c>
      <c r="AI77" s="12" t="n">
        <f aca="false">IF(AI74-AI76&gt;0,CEILING((AI74-AI76)/INPUT!$B$68,1),0)*INPUT!$B$68</f>
        <v>6000</v>
      </c>
      <c r="AJ77" s="12" t="n">
        <f aca="false">IF(AJ74-AJ76&gt;0,CEILING((AJ74-AJ76)/INPUT!$B$68,1),0)*INPUT!$B$68</f>
        <v>7000</v>
      </c>
      <c r="AK77" s="12" t="n">
        <f aca="false">IF(AK74-AK76&gt;0,CEILING((AK74-AK76)/INPUT!$B$68,1),0)*INPUT!$B$68</f>
        <v>5000</v>
      </c>
      <c r="AL77" s="12" t="n">
        <f aca="false">IF(AL74-AL76&gt;0,CEILING((AL74-AL76)/INPUT!$B$68,1),0)*INPUT!$B$68</f>
        <v>4000</v>
      </c>
      <c r="AM77" s="12" t="n">
        <f aca="false">IF(AM74-AM76&gt;0,CEILING((AM74-AM76)/INPUT!$B$68,1),0)*INPUT!$B$68</f>
        <v>6000</v>
      </c>
      <c r="AN77" s="12" t="n">
        <f aca="false">IF(AN74-AN76&gt;0,CEILING((AN74-AN76)/INPUT!$B$68,1),0)*INPUT!$B$68</f>
        <v>7000</v>
      </c>
      <c r="AO77" s="12" t="n">
        <f aca="false">IF(AO74-AO76&gt;0,CEILING((AO74-AO76)/INPUT!$B$68,1),0)*INPUT!$B$68</f>
        <v>6000</v>
      </c>
      <c r="AP77" s="12" t="n">
        <f aca="false">IF(AP74-AP76&gt;0,CEILING((AP74-AP76)/INPUT!$B$68,1),0)*INPUT!$B$68</f>
        <v>5000</v>
      </c>
      <c r="AQ77" s="12" t="n">
        <f aca="false">IF(AQ74-AQ76&gt;0,CEILING((AQ74-AQ76)/INPUT!$B$68,1),0)*INPUT!$B$68</f>
        <v>7000</v>
      </c>
      <c r="AR77" s="12" t="n">
        <f aca="false">IF(AR74-AR76&gt;0,CEILING((AR74-AR76)/INPUT!$B$68,1),0)*INPUT!$B$68</f>
        <v>8000</v>
      </c>
      <c r="AS77" s="12" t="n">
        <f aca="false">IF(AS74-AS76&gt;0,CEILING((AS74-AS76)/INPUT!$B$68,1),0)*INPUT!$B$68</f>
        <v>6000</v>
      </c>
      <c r="AT77" s="12" t="n">
        <f aca="false">IF(AT74-AT76&gt;0,CEILING((AT74-AT76)/INPUT!$B$68,1),0)*INPUT!$B$68</f>
        <v>6000</v>
      </c>
      <c r="AU77" s="12" t="n">
        <f aca="false">IF(AU74-AU76&gt;0,CEILING((AU74-AU76)/INPUT!$B$68,1),0)*INPUT!$B$68</f>
        <v>8000</v>
      </c>
      <c r="AV77" s="12" t="n">
        <f aca="false">IF(AV74-AV76&gt;0,CEILING((AV74-AV76)/INPUT!$B$68,1),0)*INPUT!$B$68</f>
        <v>10000</v>
      </c>
      <c r="AW77" s="12" t="n">
        <f aca="false">IF(AW74-AW76&gt;0,CEILING((AW74-AW76)/INPUT!$B$68,1),0)*INPUT!$B$68</f>
        <v>8000</v>
      </c>
      <c r="AX77" s="12" t="n">
        <f aca="false">IF(AX74-AX76&gt;0,CEILING((AX74-AX76)/INPUT!$B$68,1),0)*INPUT!$B$68</f>
        <v>6000</v>
      </c>
      <c r="AY77" s="12" t="n">
        <f aca="false">IF(AY74-AY76&gt;0,CEILING((AY74-AY76)/INPUT!$B$68,1),0)*INPUT!$B$68</f>
        <v>8000</v>
      </c>
      <c r="AZ77" s="12" t="n">
        <f aca="false">IF(AZ74-AZ76&gt;0,CEILING((AZ74-AZ76)/INPUT!$B$68,1),0)*INPUT!$B$68</f>
        <v>11000</v>
      </c>
      <c r="BA77" s="12" t="n">
        <f aca="false">IF(BA74-BA76&gt;0,CEILING((BA74-BA76)/INPUT!$B$68,1),0)*INPUT!$B$68</f>
        <v>10000</v>
      </c>
      <c r="BB77" s="12" t="n">
        <f aca="false">IF(BB74-BB76&gt;0,CEILING((BB74-BB76)/INPUT!$B$68,1),0)*INPUT!$B$68</f>
        <v>7000</v>
      </c>
      <c r="BC77" s="12" t="n">
        <f aca="false">IF(BC74-BC76&gt;0,CEILING((BC74-BC76)/INPUT!$B$68,1),0)*INPUT!$B$68</f>
        <v>8000</v>
      </c>
      <c r="BD77" s="12" t="n">
        <f aca="false">IF(BD74-BD76&gt;0,CEILING((BD74-BD76)/INPUT!$B$68,1),0)*INPUT!$B$68</f>
        <v>11000</v>
      </c>
      <c r="BE77" s="12" t="n">
        <f aca="false">IF(BE74-BE76&gt;0,CEILING((BE74-BE76)/INPUT!$B$68,1),0)*INPUT!$B$68</f>
        <v>11000</v>
      </c>
      <c r="BF77" s="12" t="n">
        <f aca="false">IF(BF74-BF76&gt;0,CEILING((BF74-BF76)/INPUT!$B$68,1),0)*INPUT!$B$68</f>
        <v>8000</v>
      </c>
      <c r="BG77" s="12" t="n">
        <f aca="false">IF(BG74-BG76&gt;0,CEILING((BG74-BG76)/INPUT!$B$68,1),0)*INPUT!$B$68</f>
        <v>0</v>
      </c>
      <c r="BH77" s="12" t="n">
        <f aca="false">IF(BH74-BH76&gt;0,CEILING((BH74-BH76)/INPUT!$B$68,1),0)*INPUT!$B$68</f>
        <v>0</v>
      </c>
      <c r="BI77" s="12" t="n">
        <f aca="false">IF(BI74-BI76&gt;0,CEILING((BI74-BI76)/INPUT!$B$68,1),0)*INPUT!$B$68</f>
        <v>0</v>
      </c>
    </row>
    <row r="78" customFormat="false" ht="15" hidden="false" customHeight="true" outlineLevel="0" collapsed="false">
      <c r="A78" s="11" t="s">
        <v>454</v>
      </c>
      <c r="B78" s="12" t="n">
        <f aca="false">B76+B77</f>
        <v>2432.40384615385</v>
      </c>
      <c r="C78" s="12" t="n">
        <f aca="false">C76+C77</f>
        <v>3741.27903846154</v>
      </c>
      <c r="D78" s="12" t="n">
        <f aca="false">D76+D77</f>
        <v>3932.38343846154</v>
      </c>
      <c r="E78" s="12" t="n">
        <f aca="false">E76+E77</f>
        <v>5010.85704123077</v>
      </c>
      <c r="F78" s="12" t="n">
        <f aca="false">F76+F77</f>
        <v>3981.29429243692</v>
      </c>
      <c r="G78" s="12" t="n">
        <f aca="false">G76+G77</f>
        <v>4847.80777301757</v>
      </c>
      <c r="H78" s="12" t="n">
        <f aca="false">H76+H77</f>
        <v>4614.08428622902</v>
      </c>
      <c r="I78" s="12" t="n">
        <f aca="false">I76+I77</f>
        <v>5283.43425766729</v>
      </c>
      <c r="J78" s="12" t="n">
        <f aca="false">J76+J77</f>
        <v>4858.8352496191</v>
      </c>
      <c r="K78" s="12" t="n">
        <f aca="false">K76+K77</f>
        <v>6342.97029496489</v>
      </c>
      <c r="L78" s="12" t="n">
        <f aca="false">L76+L77</f>
        <v>6738.26167125592</v>
      </c>
      <c r="M78" s="12" t="n">
        <f aca="false">M76+M77</f>
        <v>8046.90066113832</v>
      </c>
      <c r="N78" s="12" t="n">
        <f aca="false">N76+N77</f>
        <v>8840.91040981832</v>
      </c>
      <c r="O78" s="12" t="n">
        <f aca="false">O76+O77</f>
        <v>9386.90706813946</v>
      </c>
      <c r="P78" s="12" t="n">
        <f aca="false">P76+P77</f>
        <v>9693.5868436482</v>
      </c>
      <c r="Q78" s="12" t="n">
        <f aca="false">Q76+Q77</f>
        <v>10768.7528955679</v>
      </c>
      <c r="R78" s="12" t="n">
        <f aca="false">R76+R77</f>
        <v>11619.4187381828</v>
      </c>
      <c r="S78" s="12" t="n">
        <f aca="false">S76+S77</f>
        <v>12251.8993298769</v>
      </c>
      <c r="T78" s="12" t="n">
        <f aca="false">T76+T77</f>
        <v>12671.8913231964</v>
      </c>
      <c r="U78" s="12" t="n">
        <f aca="false">U76+U77</f>
        <v>12884.5437743209</v>
      </c>
      <c r="V78" s="12" t="n">
        <f aca="false">V76+V77</f>
        <v>13894.5204545793</v>
      </c>
      <c r="W78" s="12" t="n">
        <f aca="false">W76+W77</f>
        <v>14706.0547695842</v>
      </c>
      <c r="X78" s="12" t="n">
        <f aca="false">X76+X77</f>
        <v>16322.998170947</v>
      </c>
      <c r="Y78" s="12" t="n">
        <f aca="false">Y76+Y77</f>
        <v>17748.8628393915</v>
      </c>
      <c r="Z78" s="12" t="n">
        <f aca="false">Z76+Z77</f>
        <v>19212.613292931</v>
      </c>
      <c r="AA78" s="12" t="n">
        <f aca="false">AA76+AA77</f>
        <v>19360.2192534833</v>
      </c>
      <c r="AB78" s="12" t="n">
        <f aca="false">AB76+AB77</f>
        <v>21201.9130697822</v>
      </c>
      <c r="AC78" s="12" t="n">
        <f aca="false">AC76+AC77</f>
        <v>21746.9045209737</v>
      </c>
      <c r="AD78" s="12" t="n">
        <f aca="false">AD76+AD77</f>
        <v>22003.4983921607</v>
      </c>
      <c r="AE78" s="12" t="n">
        <f aca="false">AE76+AE77</f>
        <v>22979.1980692014</v>
      </c>
      <c r="AF78" s="12" t="n">
        <f aca="false">AF76+AF77</f>
        <v>23680.7968272445</v>
      </c>
      <c r="AG78" s="12" t="n">
        <f aca="false">AG76+AG77</f>
        <v>25114.4582866247</v>
      </c>
      <c r="AH78" s="12" t="n">
        <f aca="false">AH76+AH77</f>
        <v>25285.7873329851</v>
      </c>
      <c r="AI78" s="12" t="n">
        <f aca="false">AI76+AI77</f>
        <v>27199.8926429465</v>
      </c>
      <c r="AJ78" s="12" t="n">
        <f aca="false">AJ76+AJ77</f>
        <v>28861.4418197588</v>
      </c>
      <c r="AK78" s="12" t="n">
        <f aca="false">AK76+AK77</f>
        <v>31274.7100229098</v>
      </c>
      <c r="AL78" s="12" t="n">
        <f aca="false">AL76+AL77</f>
        <v>32532.8109038492</v>
      </c>
      <c r="AM78" s="12" t="n">
        <f aca="false">AM76+AM77</f>
        <v>33395.0819513121</v>
      </c>
      <c r="AN78" s="12" t="n">
        <f aca="false">AN76+AN77</f>
        <v>33876.5536802833</v>
      </c>
      <c r="AO78" s="12" t="n">
        <f aca="false">AO76+AO77</f>
        <v>34990.7465580752</v>
      </c>
      <c r="AP78" s="12" t="n">
        <f aca="false">AP76+AP77</f>
        <v>35749.8448696953</v>
      </c>
      <c r="AQ78" s="12" t="n">
        <f aca="false">AQ76+AQ77</f>
        <v>37164.8499028788</v>
      </c>
      <c r="AR78" s="12" t="n">
        <f aca="false">AR76+AR77</f>
        <v>38245.7149298376</v>
      </c>
      <c r="AS78" s="12" t="n">
        <f aca="false">AS76+AS77</f>
        <v>39001.4641656482</v>
      </c>
      <c r="AT78" s="12" t="n">
        <f aca="false">AT76+AT77</f>
        <v>40440.2976217197</v>
      </c>
      <c r="AU78" s="12" t="n">
        <f aca="false">AU76+AU77</f>
        <v>41569.6835426804</v>
      </c>
      <c r="AV78" s="12" t="n">
        <f aca="false">AV76+AV77</f>
        <v>44396.4399125266</v>
      </c>
      <c r="AW78" s="12" t="n">
        <f aca="false">AW76+AW77</f>
        <v>46926.8063376806</v>
      </c>
      <c r="AX78" s="12" t="n">
        <f aca="false">AX76+AX77</f>
        <v>48013.2916458208</v>
      </c>
      <c r="AY78" s="12" t="n">
        <f aca="false">AY76+AY77</f>
        <v>48652.3928500662</v>
      </c>
      <c r="AZ78" s="12" t="n">
        <f aca="false">AZ76+AZ77</f>
        <v>49860.0650562238</v>
      </c>
      <c r="BA78" s="12" t="n">
        <f aca="false">BA76+BA77</f>
        <v>51650.7037320702</v>
      </c>
      <c r="BB78" s="12" t="n">
        <f aca="false">BB76+BB77</f>
        <v>53037.3229895487</v>
      </c>
      <c r="BC78" s="12" t="n">
        <f aca="false">BC76+BC77</f>
        <v>54031.7126949618</v>
      </c>
      <c r="BD78" s="12" t="n">
        <f aca="false">BD76+BD77</f>
        <v>54644.5769422533</v>
      </c>
      <c r="BE78" s="12" t="n">
        <f aca="false">BE76+BE77</f>
        <v>55885.6561204011</v>
      </c>
      <c r="BF78" s="12" t="n">
        <f aca="false">BF76+BF77</f>
        <v>56763.8345383559</v>
      </c>
      <c r="BG78" s="12" t="n">
        <f aca="false">BG76+BG77</f>
        <v>49287.235335478</v>
      </c>
      <c r="BH78" s="12" t="n">
        <f aca="false">BH76+BH77</f>
        <v>38463.3041982008</v>
      </c>
      <c r="BI78" s="12" t="n">
        <f aca="false">BI76+BI77</f>
        <v>19298.8832212876</v>
      </c>
    </row>
    <row r="79" customFormat="false" ht="15" hidden="false" customHeight="true" outlineLevel="0" collapsed="false">
      <c r="A79" s="11" t="s">
        <v>455</v>
      </c>
      <c r="B79" s="12" t="n">
        <f aca="false">INPUT!$B$73*INPUT!$B$19+INPUT!$B$19*(INPUT!$B$70*B77)</f>
        <v>90000</v>
      </c>
      <c r="C79" s="12" t="n">
        <f aca="false">INPUT!$B$19*(INPUT!$B$70*C77)</f>
        <v>20000</v>
      </c>
      <c r="D79" s="12" t="n">
        <f aca="false">INPUT!$B$19*(INPUT!$B$70*D77+INPUT!$B$71*B77)</f>
        <v>10000</v>
      </c>
      <c r="E79" s="12" t="n">
        <f aca="false">INPUT!$B$19*(INPUT!$B$70*E77+INPUT!$B$71*C77)</f>
        <v>20000</v>
      </c>
      <c r="F79" s="12" t="n">
        <f aca="false">INPUT!$B$19*(INPUT!$B$70*F77+INPUT!$B$71*D77+INPUT!$B$72*B77)</f>
        <v>20000</v>
      </c>
      <c r="G79" s="12" t="n">
        <f aca="false">INPUT!$B$19*(INPUT!$B$70*G77+INPUT!$B$71*E77+INPUT!$B$72*C77)</f>
        <v>60000</v>
      </c>
      <c r="H79" s="12" t="n">
        <f aca="false">INPUT!$B$19*(INPUT!$B$70*H77+INPUT!$B$71*F77+INPUT!$B$72*D77)</f>
        <v>10000</v>
      </c>
      <c r="I79" s="12" t="n">
        <f aca="false">INPUT!$B$19*(INPUT!$B$70*I77+INPUT!$B$71*G77+INPUT!$B$72*E77)</f>
        <v>20000</v>
      </c>
      <c r="J79" s="12" t="n">
        <f aca="false">INPUT!$B$19*(INPUT!$B$70*J77+INPUT!$B$71*H77+INPUT!$B$72*F77)</f>
        <v>10000</v>
      </c>
      <c r="K79" s="12" t="n">
        <f aca="false">INPUT!$B$19*(INPUT!$B$70*K77+INPUT!$B$71*I77+INPUT!$B$72*G77)</f>
        <v>70000</v>
      </c>
      <c r="L79" s="12" t="n">
        <f aca="false">INPUT!$B$19*(INPUT!$B$70*L77+INPUT!$B$71*J77+INPUT!$B$72*H77)</f>
        <v>40000</v>
      </c>
      <c r="M79" s="12" t="n">
        <f aca="false">INPUT!$B$19*(INPUT!$B$70*M77+INPUT!$B$71*K77+INPUT!$B$72*I77)</f>
        <v>30000</v>
      </c>
      <c r="N79" s="12" t="n">
        <f aca="false">INPUT!$B$19*(INPUT!$B$70*N77+INPUT!$B$71*L77+INPUT!$B$72*J77)</f>
        <v>30000</v>
      </c>
      <c r="O79" s="12" t="n">
        <f aca="false">INPUT!$B$19*(INPUT!$B$70*O77+INPUT!$B$71*M77+INPUT!$B$72*K77)</f>
        <v>90000</v>
      </c>
      <c r="P79" s="12" t="n">
        <f aca="false">INPUT!$B$19*(INPUT!$B$70*P77+INPUT!$B$71*N77+INPUT!$B$72*L77)</f>
        <v>70000</v>
      </c>
      <c r="Q79" s="12" t="n">
        <f aca="false">INPUT!$B$19*(INPUT!$B$70*Q77+INPUT!$B$71*O77+INPUT!$B$72*M77)</f>
        <v>40000</v>
      </c>
      <c r="R79" s="12" t="n">
        <f aca="false">INPUT!$B$19*(INPUT!$B$70*R77+INPUT!$B$71*P77+INPUT!$B$72*N77)</f>
        <v>60000</v>
      </c>
      <c r="S79" s="12" t="n">
        <f aca="false">INPUT!$B$19*(INPUT!$B$70*S77+INPUT!$B$71*Q77+INPUT!$B$72*O77)</f>
        <v>100000</v>
      </c>
      <c r="T79" s="12" t="n">
        <f aca="false">INPUT!$B$19*(INPUT!$B$70*T77+INPUT!$B$71*R77+INPUT!$B$72*P77)</f>
        <v>80000</v>
      </c>
      <c r="U79" s="12" t="n">
        <f aca="false">INPUT!$B$19*(INPUT!$B$70*U77+INPUT!$B$71*S77+INPUT!$B$72*Q77)</f>
        <v>60000</v>
      </c>
      <c r="V79" s="12" t="n">
        <f aca="false">INPUT!$B$19*(INPUT!$B$70*V77+INPUT!$B$71*T77+INPUT!$B$72*R77)</f>
        <v>90000</v>
      </c>
      <c r="W79" s="12" t="n">
        <f aca="false">INPUT!$B$19*(INPUT!$B$70*W77+INPUT!$B$71*U77+INPUT!$B$72*S77)</f>
        <v>110000</v>
      </c>
      <c r="X79" s="12" t="n">
        <f aca="false">INPUT!$B$19*(INPUT!$B$70*X77+INPUT!$B$71*V77+INPUT!$B$72*T77)</f>
        <v>100000</v>
      </c>
      <c r="Y79" s="12" t="n">
        <f aca="false">INPUT!$B$19*(INPUT!$B$70*Y77+INPUT!$B$71*W77+INPUT!$B$72*U77)</f>
        <v>80000</v>
      </c>
      <c r="Z79" s="12" t="n">
        <f aca="false">INPUT!$B$19*(INPUT!$B$70*Z77+INPUT!$B$71*X77+INPUT!$B$72*V77)</f>
        <v>130000</v>
      </c>
      <c r="AA79" s="12" t="n">
        <f aca="false">INPUT!$B$19*(INPUT!$B$70*AA77+INPUT!$B$71*Y77+INPUT!$B$72*W77)</f>
        <v>140000</v>
      </c>
      <c r="AB79" s="12" t="n">
        <f aca="false">INPUT!$B$19*(INPUT!$B$70*AB77+INPUT!$B$71*Z77+INPUT!$B$72*X77)</f>
        <v>140000</v>
      </c>
      <c r="AC79" s="12" t="n">
        <f aca="false">INPUT!$B$19*(INPUT!$B$70*AC77+INPUT!$B$71*AA77+INPUT!$B$72*Y77)</f>
        <v>110000</v>
      </c>
      <c r="AD79" s="12" t="n">
        <f aca="false">INPUT!$B$19*(INPUT!$B$70*AD77+INPUT!$B$71*AB77+INPUT!$B$72*Z77)</f>
        <v>150000</v>
      </c>
      <c r="AE79" s="12" t="n">
        <f aca="false">INPUT!$B$19*(INPUT!$B$70*AE77+INPUT!$B$71*AC77+INPUT!$B$72*AA77)</f>
        <v>160000</v>
      </c>
      <c r="AF79" s="12" t="n">
        <f aca="false">INPUT!$B$19*(INPUT!$B$70*AF77+INPUT!$B$71*AD77+INPUT!$B$72*AB77)</f>
        <v>160000</v>
      </c>
      <c r="AG79" s="12" t="n">
        <f aca="false">INPUT!$B$19*(INPUT!$B$70*AG77+INPUT!$B$71*AE77+INPUT!$B$72*AC77)</f>
        <v>150000</v>
      </c>
      <c r="AH79" s="12" t="n">
        <f aca="false">INPUT!$B$19*(INPUT!$B$70*AH77+INPUT!$B$71*AF77+INPUT!$B$72*AD77)</f>
        <v>140000</v>
      </c>
      <c r="AI79" s="12" t="n">
        <f aca="false">INPUT!$B$19*(INPUT!$B$70*AI77+INPUT!$B$71*AG77+INPUT!$B$72*AE77)</f>
        <v>200000</v>
      </c>
      <c r="AJ79" s="12" t="n">
        <f aca="false">INPUT!$B$19*(INPUT!$B$70*AJ77+INPUT!$B$71*AH77+INPUT!$B$72*AF77)</f>
        <v>200000</v>
      </c>
      <c r="AK79" s="12" t="n">
        <f aca="false">INPUT!$B$19*(INPUT!$B$70*AK77+INPUT!$B$71*AI77+INPUT!$B$72*AG77)</f>
        <v>190000</v>
      </c>
      <c r="AL79" s="12" t="n">
        <f aca="false">INPUT!$B$19*(INPUT!$B$70*AL77+INPUT!$B$71*AJ77+INPUT!$B$72*AH77)</f>
        <v>170000</v>
      </c>
      <c r="AM79" s="12" t="n">
        <f aca="false">INPUT!$B$19*(INPUT!$B$70*AM77+INPUT!$B$71*AK77+INPUT!$B$72*AI77)</f>
        <v>230000</v>
      </c>
      <c r="AN79" s="12" t="n">
        <f aca="false">INPUT!$B$19*(INPUT!$B$70*AN77+INPUT!$B$71*AL77+INPUT!$B$72*AJ77)</f>
        <v>250000</v>
      </c>
      <c r="AO79" s="12" t="n">
        <f aca="false">INPUT!$B$19*(INPUT!$B$70*AO77+INPUT!$B$71*AM77+INPUT!$B$72*AK77)</f>
        <v>220000</v>
      </c>
      <c r="AP79" s="12" t="n">
        <f aca="false">INPUT!$B$19*(INPUT!$B$70*AP77+INPUT!$B$71*AN77+INPUT!$B$72*AL77)</f>
        <v>200000</v>
      </c>
      <c r="AQ79" s="12" t="n">
        <f aca="false">INPUT!$B$19*(INPUT!$B$70*AQ77+INPUT!$B$71*AO77+INPUT!$B$72*AM77)</f>
        <v>250000</v>
      </c>
      <c r="AR79" s="12" t="n">
        <f aca="false">INPUT!$B$19*(INPUT!$B$70*AR77+INPUT!$B$71*AP77+INPUT!$B$72*AN77)</f>
        <v>270000</v>
      </c>
      <c r="AS79" s="12" t="n">
        <f aca="false">INPUT!$B$19*(INPUT!$B$70*AS77+INPUT!$B$71*AQ77+INPUT!$B$72*AO77)</f>
        <v>250000</v>
      </c>
      <c r="AT79" s="12" t="n">
        <f aca="false">INPUT!$B$19*(INPUT!$B$70*AT77+INPUT!$B$71*AR77+INPUT!$B$72*AP77)</f>
        <v>240000</v>
      </c>
      <c r="AU79" s="12" t="n">
        <f aca="false">INPUT!$B$19*(INPUT!$B$70*AU77+INPUT!$B$71*AS77+INPUT!$B$72*AQ77)</f>
        <v>280000</v>
      </c>
      <c r="AV79" s="12" t="n">
        <f aca="false">INPUT!$B$19*(INPUT!$B$70*AV77+INPUT!$B$71*AT77+INPUT!$B$72*AR77)</f>
        <v>320000</v>
      </c>
      <c r="AW79" s="12" t="n">
        <f aca="false">INPUT!$B$19*(INPUT!$B$70*AW77+INPUT!$B$71*AU77+INPUT!$B$72*AS77)</f>
        <v>280000</v>
      </c>
      <c r="AX79" s="12" t="n">
        <f aca="false">INPUT!$B$19*(INPUT!$B$70*AX77+INPUT!$B$71*AV77+INPUT!$B$72*AT77)</f>
        <v>280000</v>
      </c>
      <c r="AY79" s="12" t="n">
        <f aca="false">INPUT!$B$19*(INPUT!$B$70*AY77+INPUT!$B$71*AW77+INPUT!$B$72*AU77)</f>
        <v>320000</v>
      </c>
      <c r="AZ79" s="12" t="n">
        <f aca="false">INPUT!$B$19*(INPUT!$B$70*AZ77+INPUT!$B$71*AX77+INPUT!$B$72*AV77)</f>
        <v>370000</v>
      </c>
      <c r="BA79" s="12" t="n">
        <f aca="false">INPUT!$B$19*(INPUT!$B$70*BA77+INPUT!$B$71*AY77+INPUT!$B$72*AW77)</f>
        <v>340000</v>
      </c>
      <c r="BB79" s="12" t="n">
        <f aca="false">INPUT!$B$19*(INPUT!$B$70*BB77+INPUT!$B$71*AZ77+INPUT!$B$72*AX77)</f>
        <v>300000</v>
      </c>
      <c r="BC79" s="12" t="n">
        <f aca="false">INPUT!$B$19*(INPUT!$B$70*BC77+INPUT!$B$71*BA77+INPUT!$B$72*AY77)</f>
        <v>340000</v>
      </c>
      <c r="BD79" s="12" t="n">
        <f aca="false">INPUT!$B$19*(INPUT!$B$70*BD77+INPUT!$B$71*BB77+INPUT!$B$72*AZ77)</f>
        <v>400000</v>
      </c>
      <c r="BE79" s="12" t="n">
        <f aca="false">INPUT!$B$19*(INPUT!$B$70*BE77+INPUT!$B$71*BC77+INPUT!$B$72*BA77)</f>
        <v>390000</v>
      </c>
      <c r="BF79" s="12" t="n">
        <f aca="false">INPUT!$B$19*(INPUT!$B$70*BF77+INPUT!$B$71*BD77+INPUT!$B$72*BB77)</f>
        <v>330000</v>
      </c>
      <c r="BG79" s="12" t="n">
        <f aca="false">INPUT!$B$19*(INPUT!$B$70*BG77+INPUT!$B$71*BE77+INPUT!$B$72*BC77)</f>
        <v>270000</v>
      </c>
      <c r="BH79" s="12" t="n">
        <f aca="false">INPUT!$B$19*(INPUT!$B$70*BH77+INPUT!$B$71*BF77+INPUT!$B$72*BD77)</f>
        <v>300000</v>
      </c>
      <c r="BI79" s="12" t="n">
        <f aca="false">INPUT!$B$19*(INPUT!$B$70*BI77+INPUT!$B$71*BG77+INPUT!$B$72*BE77)</f>
        <v>220000</v>
      </c>
    </row>
    <row r="80" customFormat="false" ht="15" hidden="false" customHeight="true" outlineLevel="0" collapsed="false">
      <c r="A80" s="7" t="s">
        <v>456</v>
      </c>
      <c r="B80" s="8"/>
      <c r="C80" s="8"/>
      <c r="D80" s="8"/>
      <c r="E80" s="8"/>
      <c r="F80" s="8"/>
      <c r="G80" s="8"/>
    </row>
    <row r="81" customFormat="false" ht="15" hidden="false" customHeight="true" outlineLevel="0" collapsed="false">
      <c r="A81" s="6" t="s">
        <v>457</v>
      </c>
      <c r="B81" s="22" t="n">
        <f aca="false">0</f>
        <v>0</v>
      </c>
      <c r="C81" s="22" t="n">
        <f aca="false">0</f>
        <v>0</v>
      </c>
      <c r="D81" s="22" t="n">
        <f aca="false">0</f>
        <v>0</v>
      </c>
      <c r="E81" s="22" t="n">
        <f aca="false">0</f>
        <v>0</v>
      </c>
      <c r="F81" s="22" t="n">
        <f aca="false">0</f>
        <v>0</v>
      </c>
      <c r="G81" s="22" t="n">
        <f aca="false">0</f>
        <v>0</v>
      </c>
      <c r="H81" s="22" t="n">
        <f aca="false">0</f>
        <v>0</v>
      </c>
      <c r="I81" s="22" t="n">
        <f aca="false">0</f>
        <v>0</v>
      </c>
      <c r="J81" s="22" t="n">
        <f aca="false">0</f>
        <v>0</v>
      </c>
      <c r="K81" s="22" t="n">
        <f aca="false">0</f>
        <v>0</v>
      </c>
      <c r="L81" s="22" t="n">
        <f aca="false">0</f>
        <v>0</v>
      </c>
      <c r="M81" s="22" t="n">
        <f aca="false">0</f>
        <v>0</v>
      </c>
      <c r="N81" s="22" t="n">
        <f aca="false">M24*(1-INPUT!$B$118)^12*INPUT!$B$67*12*INPUT!$B$12</f>
        <v>92837.2191352466</v>
      </c>
      <c r="O81" s="22" t="n">
        <f aca="false">0</f>
        <v>0</v>
      </c>
      <c r="P81" s="22" t="n">
        <f aca="false">0</f>
        <v>0</v>
      </c>
      <c r="Q81" s="22" t="n">
        <f aca="false">0</f>
        <v>0</v>
      </c>
      <c r="R81" s="22" t="n">
        <f aca="false">0</f>
        <v>0</v>
      </c>
      <c r="S81" s="22" t="n">
        <f aca="false">0</f>
        <v>0</v>
      </c>
      <c r="T81" s="22" t="n">
        <f aca="false">0</f>
        <v>0</v>
      </c>
      <c r="U81" s="22" t="n">
        <f aca="false">0</f>
        <v>0</v>
      </c>
      <c r="V81" s="22" t="n">
        <f aca="false">0</f>
        <v>0</v>
      </c>
      <c r="W81" s="22" t="n">
        <f aca="false">0</f>
        <v>0</v>
      </c>
      <c r="X81" s="22" t="n">
        <f aca="false">0</f>
        <v>0</v>
      </c>
      <c r="Y81" s="22" t="n">
        <f aca="false">0</f>
        <v>0</v>
      </c>
      <c r="Z81" s="22" t="n">
        <f aca="false">Y24*(1-INPUT!$B$118)^12*INPUT!$B$67*12*INPUT!$B$12</f>
        <v>284028.687145495</v>
      </c>
      <c r="AA81" s="22" t="n">
        <f aca="false">0</f>
        <v>0</v>
      </c>
      <c r="AB81" s="22" t="n">
        <f aca="false">0</f>
        <v>0</v>
      </c>
      <c r="AC81" s="22" t="n">
        <f aca="false">0</f>
        <v>0</v>
      </c>
      <c r="AD81" s="22" t="n">
        <f aca="false">0</f>
        <v>0</v>
      </c>
      <c r="AE81" s="22" t="n">
        <f aca="false">0</f>
        <v>0</v>
      </c>
      <c r="AF81" s="22" t="n">
        <f aca="false">0</f>
        <v>0</v>
      </c>
      <c r="AG81" s="22" t="n">
        <f aca="false">0</f>
        <v>0</v>
      </c>
      <c r="AH81" s="22" t="n">
        <f aca="false">0</f>
        <v>0</v>
      </c>
      <c r="AI81" s="22" t="n">
        <f aca="false">0</f>
        <v>0</v>
      </c>
      <c r="AJ81" s="22" t="n">
        <f aca="false">0</f>
        <v>0</v>
      </c>
      <c r="AK81" s="22" t="n">
        <f aca="false">0</f>
        <v>0</v>
      </c>
      <c r="AL81" s="22" t="n">
        <f aca="false">AK24*(1-INPUT!$B$118)^12*INPUT!$B$67*12*INPUT!$B$12</f>
        <v>544858.214824637</v>
      </c>
      <c r="AM81" s="22" t="n">
        <f aca="false">0</f>
        <v>0</v>
      </c>
      <c r="AN81" s="22" t="n">
        <f aca="false">0</f>
        <v>0</v>
      </c>
      <c r="AO81" s="22" t="n">
        <f aca="false">0</f>
        <v>0</v>
      </c>
      <c r="AP81" s="22" t="n">
        <f aca="false">0</f>
        <v>0</v>
      </c>
      <c r="AQ81" s="22" t="n">
        <f aca="false">0</f>
        <v>0</v>
      </c>
      <c r="AR81" s="22" t="n">
        <f aca="false">0</f>
        <v>0</v>
      </c>
      <c r="AS81" s="22" t="n">
        <f aca="false">0</f>
        <v>0</v>
      </c>
      <c r="AT81" s="22" t="n">
        <f aca="false">0</f>
        <v>0</v>
      </c>
      <c r="AU81" s="22" t="n">
        <f aca="false">0</f>
        <v>0</v>
      </c>
      <c r="AV81" s="22" t="n">
        <f aca="false">0</f>
        <v>0</v>
      </c>
      <c r="AW81" s="22" t="n">
        <f aca="false">0</f>
        <v>0</v>
      </c>
      <c r="AX81" s="22" t="n">
        <f aca="false">AW24*(1-INPUT!$B$118)^12*INPUT!$B$67*12*INPUT!$B$12</f>
        <v>917866.789779792</v>
      </c>
      <c r="AY81" s="22" t="n">
        <f aca="false">0</f>
        <v>0</v>
      </c>
      <c r="AZ81" s="22" t="n">
        <f aca="false">0</f>
        <v>0</v>
      </c>
      <c r="BA81" s="22" t="n">
        <f aca="false">0</f>
        <v>0</v>
      </c>
      <c r="BB81" s="22" t="n">
        <f aca="false">0</f>
        <v>0</v>
      </c>
      <c r="BC81" s="22" t="n">
        <f aca="false">0</f>
        <v>0</v>
      </c>
      <c r="BD81" s="22" t="n">
        <f aca="false">0</f>
        <v>0</v>
      </c>
      <c r="BE81" s="22" t="n">
        <f aca="false">0</f>
        <v>0</v>
      </c>
      <c r="BF81" s="22" t="n">
        <f aca="false">0</f>
        <v>0</v>
      </c>
      <c r="BG81" s="22" t="n">
        <f aca="false">0</f>
        <v>0</v>
      </c>
      <c r="BH81" s="22" t="n">
        <f aca="false">0</f>
        <v>0</v>
      </c>
      <c r="BI81" s="22" t="n">
        <f aca="false">0</f>
        <v>0</v>
      </c>
    </row>
    <row r="82" customFormat="false" ht="15" hidden="false" customHeight="true" outlineLevel="0" collapsed="false">
      <c r="A82" s="4" t="s">
        <v>279</v>
      </c>
      <c r="B82" s="10" t="n">
        <f aca="false">B23*INPUT!$B$10+B25*INPUT!$B$67*12*INPUT!$B$12+B24*(1-INPUT!$B$67)*INPUT!$B$12+B37+B41+B45+B81</f>
        <v>59654.0434877622</v>
      </c>
      <c r="C82" s="10" t="n">
        <f aca="false">C23*INPUT!$B$10+C25*INPUT!$B$67*12*INPUT!$B$12+C24*(1-INPUT!$B$67)*INPUT!$B$12+C37+C41+C45+C81</f>
        <v>72075.473513986</v>
      </c>
      <c r="D82" s="10" t="n">
        <f aca="false">D23*INPUT!$B$10+D25*INPUT!$B$67*12*INPUT!$B$12+D24*(1-INPUT!$B$67)*INPUT!$B$12+D37+D41+D45+D81</f>
        <v>83848.3034143357</v>
      </c>
      <c r="E82" s="10" t="n">
        <f aca="false">E23*INPUT!$B$10+E25*INPUT!$B$67*12*INPUT!$B$12+E24*(1-INPUT!$B$67)*INPUT!$B$12+E37+E41+E45+E81</f>
        <v>95044.9605675524</v>
      </c>
      <c r="F82" s="10" t="n">
        <f aca="false">F23*INPUT!$B$10+F25*INPUT!$B$67*12*INPUT!$B$12+F24*(1-INPUT!$B$67)*INPUT!$B$12+F37+F41+F45+F81</f>
        <v>105729.316182838</v>
      </c>
      <c r="G82" s="10" t="n">
        <f aca="false">G23*INPUT!$B$10+G25*INPUT!$B$67*12*INPUT!$B$12+G24*(1-INPUT!$B$67)*INPUT!$B$12+G37+G41+G45+G81</f>
        <v>115957.7086623</v>
      </c>
      <c r="H82" s="10" t="n">
        <f aca="false">H23*INPUT!$B$10+H25*INPUT!$B$67*12*INPUT!$B$12+H24*(1-INPUT!$B$67)*INPUT!$B$12+H37+H41+H45+H81</f>
        <v>125779.844244356</v>
      </c>
      <c r="I82" s="10" t="n">
        <f aca="false">I23*INPUT!$B$10+I25*INPUT!$B$67*12*INPUT!$B$12+I24*(1-INPUT!$B$67)*INPUT!$B$12+I37+I41+I45+I81</f>
        <v>135239.58965226</v>
      </c>
      <c r="J82" s="10" t="n">
        <f aca="false">J23*INPUT!$B$10+J25*INPUT!$B$67*12*INPUT!$B$12+J24*(1-INPUT!$B$67)*INPUT!$B$12+J37+J41+J45+J81</f>
        <v>144375.669705085</v>
      </c>
      <c r="K82" s="10" t="n">
        <f aca="false">K23*INPUT!$B$10+K25*INPUT!$B$67*12*INPUT!$B$12+K24*(1-INPUT!$B$67)*INPUT!$B$12+K37+K41+K45+K81</f>
        <v>153222.281293663</v>
      </c>
      <c r="L82" s="10" t="n">
        <f aca="false">L23*INPUT!$B$10+L25*INPUT!$B$67*12*INPUT!$B$12+L24*(1-INPUT!$B$67)*INPUT!$B$12+L37+L41+L45+L81</f>
        <v>161809.633755719</v>
      </c>
      <c r="M82" s="10" t="n">
        <f aca="false">M23*INPUT!$B$10+M25*INPUT!$B$67*12*INPUT!$B$12+M24*(1-INPUT!$B$67)*INPUT!$B$12+M37+M41+M45+M81</f>
        <v>170164.424480401</v>
      </c>
      <c r="N82" s="10" t="n">
        <f aca="false">N23*INPUT!$B$10+N25*INPUT!$B$67*12*INPUT!$B$12+N24*(1-INPUT!$B$67)*INPUT!$B$12+N37+N41+N45+N81</f>
        <v>307096.222013108</v>
      </c>
      <c r="O82" s="10" t="n">
        <f aca="false">O23*INPUT!$B$10+O25*INPUT!$B$67*12*INPUT!$B$12+O24*(1-INPUT!$B$67)*INPUT!$B$12+O37+O41+O45+O81</f>
        <v>237350.637487063</v>
      </c>
      <c r="P82" s="10" t="n">
        <f aca="false">P23*INPUT!$B$10+P25*INPUT!$B$67*12*INPUT!$B$12+P24*(1-INPUT!$B$67)*INPUT!$B$12+P37+P41+P45+P81</f>
        <v>259490.904723735</v>
      </c>
      <c r="Q82" s="10" t="n">
        <f aca="false">Q23*INPUT!$B$10+Q25*INPUT!$B$67*12*INPUT!$B$12+Q24*(1-INPUT!$B$67)*INPUT!$B$12+Q37+Q41+Q45+Q81</f>
        <v>280782.838218974</v>
      </c>
      <c r="R82" s="10" t="n">
        <f aca="false">R23*INPUT!$B$10+R25*INPUT!$B$67*12*INPUT!$B$12+R24*(1-INPUT!$B$67)*INPUT!$B$12+R37+R41+R45+R81</f>
        <v>301317.385829487</v>
      </c>
      <c r="S82" s="10" t="n">
        <f aca="false">S23*INPUT!$B$10+S25*INPUT!$B$67*12*INPUT!$B$12+S24*(1-INPUT!$B$67)*INPUT!$B$12+S37+S41+S45+S81</f>
        <v>321174.852973984</v>
      </c>
      <c r="T82" s="10" t="n">
        <f aca="false">T23*INPUT!$B$10+T25*INPUT!$B$67*12*INPUT!$B$12+T24*(1-INPUT!$B$67)*INPUT!$B$12+T37+T41+T45+T81</f>
        <v>340426.172943113</v>
      </c>
      <c r="U82" s="10" t="n">
        <f aca="false">U23*INPUT!$B$10+U25*INPUT!$B$67*12*INPUT!$B$12+U24*(1-INPUT!$B$67)*INPUT!$B$12+U37+U41+U45+U81</f>
        <v>359134.02494178</v>
      </c>
      <c r="V82" s="10" t="n">
        <f aca="false">V23*INPUT!$B$10+V25*INPUT!$B$67*12*INPUT!$B$12+V24*(1-INPUT!$B$67)*INPUT!$B$12+V37+V41+V45+V81</f>
        <v>377353.818131702</v>
      </c>
      <c r="W82" s="10" t="n">
        <f aca="false">W23*INPUT!$B$10+W25*INPUT!$B$67*12*INPUT!$B$12+W24*(1-INPUT!$B$67)*INPUT!$B$12+W37+W41+W45+W81</f>
        <v>395134.557750062</v>
      </c>
      <c r="X82" s="10" t="n">
        <f aca="false">X23*INPUT!$B$10+X25*INPUT!$B$67*12*INPUT!$B$12+X24*(1-INPUT!$B$67)*INPUT!$B$12+X37+X41+X45+X81</f>
        <v>412519.607451074</v>
      </c>
      <c r="Y82" s="10" t="n">
        <f aca="false">Y23*INPUT!$B$10+Y25*INPUT!$B$67*12*INPUT!$B$12+Y24*(1-INPUT!$B$67)*INPUT!$B$12+Y37+Y41+Y45+Y81</f>
        <v>429547.360319808</v>
      </c>
      <c r="Z82" s="10" t="n">
        <f aca="false">Z23*INPUT!$B$10+Z25*INPUT!$B$67*12*INPUT!$B$12+Z24*(1-INPUT!$B$67)*INPUT!$B$12+Z37+Z41+Z45+Z81</f>
        <v>761524.89838724</v>
      </c>
      <c r="AA82" s="10" t="n">
        <f aca="false">AA23*INPUT!$B$10+AA25*INPUT!$B$67*12*INPUT!$B$12+AA24*(1-INPUT!$B$67)*INPUT!$B$12+AA37+AA41+AA45+AA81</f>
        <v>504418.332047508</v>
      </c>
      <c r="AB82" s="10" t="n">
        <f aca="false">AB23*INPUT!$B$10+AB25*INPUT!$B$67*12*INPUT!$B$12+AB24*(1-INPUT!$B$67)*INPUT!$B$12+AB37+AB41+AB45+AB81</f>
        <v>530223.55762569</v>
      </c>
      <c r="AC82" s="10" t="n">
        <f aca="false">AC23*INPUT!$B$10+AC25*INPUT!$B$67*12*INPUT!$B$12+AC24*(1-INPUT!$B$67)*INPUT!$B$12+AC37+AC41+AC45+AC81</f>
        <v>555030.7308821</v>
      </c>
      <c r="AD82" s="10" t="n">
        <f aca="false">AD23*INPUT!$B$10+AD25*INPUT!$B$67*12*INPUT!$B$12+AD24*(1-INPUT!$B$67)*INPUT!$B$12+AD37+AD41+AD45+AD81</f>
        <v>578944.813186889</v>
      </c>
      <c r="AE82" s="10" t="n">
        <f aca="false">AE23*INPUT!$B$10+AE25*INPUT!$B$67*12*INPUT!$B$12+AE24*(1-INPUT!$B$67)*INPUT!$B$12+AE37+AE41+AE45+AE81</f>
        <v>602058.540668498</v>
      </c>
      <c r="AF82" s="10" t="n">
        <f aca="false">AF23*INPUT!$B$10+AF25*INPUT!$B$67*12*INPUT!$B$12+AF24*(1-INPUT!$B$67)*INPUT!$B$12+AF37+AF41+AF45+AF81</f>
        <v>624453.881989602</v>
      </c>
      <c r="AG82" s="10" t="n">
        <f aca="false">AG23*INPUT!$B$10+AG25*INPUT!$B$67*12*INPUT!$B$12+AG24*(1-INPUT!$B$67)*INPUT!$B$12+AG37+AG41+AG45+AG81</f>
        <v>646203.321421256</v>
      </c>
      <c r="AH82" s="10" t="n">
        <f aca="false">AH23*INPUT!$B$10+AH25*INPUT!$B$67*12*INPUT!$B$12+AH24*(1-INPUT!$B$67)*INPUT!$B$12+AH37+AH41+AH45+AH81</f>
        <v>667370.988173696</v>
      </c>
      <c r="AI82" s="10" t="n">
        <f aca="false">AI23*INPUT!$B$10+AI25*INPUT!$B$67*12*INPUT!$B$12+AI24*(1-INPUT!$B$67)*INPUT!$B$12+AI37+AI41+AI45+AI81</f>
        <v>688013.650427338</v>
      </c>
      <c r="AJ82" s="10" t="n">
        <f aca="false">AJ23*INPUT!$B$10+AJ25*INPUT!$B$67*12*INPUT!$B$12+AJ24*(1-INPUT!$B$67)*INPUT!$B$12+AJ37+AJ41+AJ45+AJ81</f>
        <v>708181.59029448</v>
      </c>
      <c r="AK82" s="10" t="n">
        <f aca="false">AK23*INPUT!$B$10+AK25*INPUT!$B$67*12*INPUT!$B$12+AK24*(1-INPUT!$B$67)*INPUT!$B$12+AK37+AK41+AK45+AK81</f>
        <v>727919.373994629</v>
      </c>
      <c r="AL82" s="10" t="n">
        <f aca="false">AL23*INPUT!$B$10+AL25*INPUT!$B$67*12*INPUT!$B$12+AL24*(1-INPUT!$B$67)*INPUT!$B$12+AL37+AL41+AL45+AL81</f>
        <v>1372724.06262483</v>
      </c>
      <c r="AM82" s="10" t="n">
        <f aca="false">AM23*INPUT!$B$10+AM25*INPUT!$B$67*12*INPUT!$B$12+AM24*(1-INPUT!$B$67)*INPUT!$B$12+AM37+AM41+AM45+AM81</f>
        <v>861982.851240835</v>
      </c>
      <c r="AN82" s="10" t="n">
        <f aca="false">AN23*INPUT!$B$10+AN25*INPUT!$B$67*12*INPUT!$B$12+AN24*(1-INPUT!$B$67)*INPUT!$B$12+AN37+AN41+AN45+AN81</f>
        <v>894446.725717368</v>
      </c>
      <c r="AO82" s="10" t="n">
        <f aca="false">AO23*INPUT!$B$10+AO25*INPUT!$B$67*12*INPUT!$B$12+AO24*(1-INPUT!$B$67)*INPUT!$B$12+AO37+AO41+AO45+AO81</f>
        <v>925434.131538585</v>
      </c>
      <c r="AP82" s="10" t="n">
        <f aca="false">AP23*INPUT!$B$10+AP25*INPUT!$B$67*12*INPUT!$B$12+AP24*(1-INPUT!$B$67)*INPUT!$B$12+AP37+AP41+AP45+AP81</f>
        <v>955101.072655396</v>
      </c>
      <c r="AQ82" s="10" t="n">
        <f aca="false">AQ23*INPUT!$B$10+AQ25*INPUT!$B$67*12*INPUT!$B$12+AQ24*(1-INPUT!$B$67)*INPUT!$B$12+AQ37+AQ41+AQ45+AQ81</f>
        <v>983585.361851794</v>
      </c>
      <c r="AR82" s="10" t="n">
        <f aca="false">AR23*INPUT!$B$10+AR25*INPUT!$B$67*12*INPUT!$B$12+AR24*(1-INPUT!$B$67)*INPUT!$B$12+AR37+AR41+AR45+AR81</f>
        <v>1011008.79045221</v>
      </c>
      <c r="AS82" s="10" t="n">
        <f aca="false">AS23*INPUT!$B$10+AS25*INPUT!$B$67*12*INPUT!$B$12+AS24*(1-INPUT!$B$67)*INPUT!$B$12+AS37+AS41+AS45+AS81</f>
        <v>1037479.03799478</v>
      </c>
      <c r="AT82" s="10" t="n">
        <f aca="false">AT23*INPUT!$B$10+AT25*INPUT!$B$67*12*INPUT!$B$12+AT24*(1-INPUT!$B$67)*INPUT!$B$12+AT37+AT41+AT45+AT81</f>
        <v>1063091.35306642</v>
      </c>
      <c r="AU82" s="10" t="n">
        <f aca="false">AU23*INPUT!$B$10+AU25*INPUT!$B$67*12*INPUT!$B$12+AU24*(1-INPUT!$B$67)*INPUT!$B$12+AU37+AU41+AU45+AU81</f>
        <v>1087930.0327521</v>
      </c>
      <c r="AV82" s="10" t="n">
        <f aca="false">AV23*INPUT!$B$10+AV25*INPUT!$B$67*12*INPUT!$B$12+AV24*(1-INPUT!$B$67)*INPUT!$B$12+AV37+AV41+AV45+AV81</f>
        <v>1112069.72485689</v>
      </c>
      <c r="AW82" s="10" t="n">
        <f aca="false">AW23*INPUT!$B$10+AW25*INPUT!$B$67*12*INPUT!$B$12+AW24*(1-INPUT!$B$67)*INPUT!$B$12+AW37+AW41+AW45+AW81</f>
        <v>1135576.57416027</v>
      </c>
      <c r="AX82" s="10" t="n">
        <f aca="false">AX23*INPUT!$B$10+AX25*INPUT!$B$67*12*INPUT!$B$12+AX24*(1-INPUT!$B$67)*INPUT!$B$12+AX37+AX41+AX45+AX81</f>
        <v>2172964.39701682</v>
      </c>
      <c r="AY82" s="10" t="n">
        <f aca="false">AY23*INPUT!$B$10+AY25*INPUT!$B$67*12*INPUT!$B$12+AY24*(1-INPUT!$B$67)*INPUT!$B$12+AY37+AY41+AY45+AY81</f>
        <v>1293076.79094669</v>
      </c>
      <c r="AZ82" s="10" t="n">
        <f aca="false">AZ23*INPUT!$B$10+AZ25*INPUT!$B$67*12*INPUT!$B$12+AZ24*(1-INPUT!$B$67)*INPUT!$B$12+AZ37+AZ41+AZ45+AZ81</f>
        <v>1329325.14384825</v>
      </c>
      <c r="BA82" s="10" t="n">
        <f aca="false">BA23*INPUT!$B$10+BA25*INPUT!$B$67*12*INPUT!$B$12+BA24*(1-INPUT!$B$67)*INPUT!$B$12+BA37+BA41+BA45+BA81</f>
        <v>1364024.11235777</v>
      </c>
      <c r="BB82" s="10" t="n">
        <f aca="false">BB23*INPUT!$B$10+BB25*INPUT!$B$67*12*INPUT!$B$12+BB24*(1-INPUT!$B$67)*INPUT!$B$12+BB37+BB41+BB45+BB81</f>
        <v>1397334.02565337</v>
      </c>
      <c r="BC82" s="10" t="n">
        <f aca="false">BC23*INPUT!$B$10+BC25*INPUT!$B$67*12*INPUT!$B$12+BC24*(1-INPUT!$B$67)*INPUT!$B$12+BC37+BC41+BC45+BC81</f>
        <v>1429396.61333555</v>
      </c>
      <c r="BD82" s="10" t="n">
        <f aca="false">BD23*INPUT!$B$10+BD25*INPUT!$B$67*12*INPUT!$B$12+BD24*(1-INPUT!$B$67)*INPUT!$B$12+BD37+BD41+BD45+BD81</f>
        <v>1460337.22137837</v>
      </c>
      <c r="BE82" s="10" t="n">
        <f aca="false">BE23*INPUT!$B$10+BE25*INPUT!$B$67*12*INPUT!$B$12+BE24*(1-INPUT!$B$67)*INPUT!$B$12+BE37+BE41+BE45+BE81</f>
        <v>1490266.76256649</v>
      </c>
      <c r="BF82" s="10" t="n">
        <f aca="false">BF23*INPUT!$B$10+BF25*INPUT!$B$67*12*INPUT!$B$12+BF24*(1-INPUT!$B$67)*INPUT!$B$12+BF37+BF41+BF45+BF81</f>
        <v>1519283.43326972</v>
      </c>
      <c r="BG82" s="10" t="n">
        <f aca="false">BG23*INPUT!$B$10+BG25*INPUT!$B$67*12*INPUT!$B$12+BG24*(1-INPUT!$B$67)*INPUT!$B$12+BG37+BG41+BG45+BG81</f>
        <v>1547474.22458479</v>
      </c>
      <c r="BH82" s="10" t="n">
        <f aca="false">BH23*INPUT!$B$10+BH25*INPUT!$B$67*12*INPUT!$B$12+BH24*(1-INPUT!$B$67)*INPUT!$B$12+BH37+BH41+BH45+BH81</f>
        <v>1574916.25251088</v>
      </c>
      <c r="BI82" s="10" t="n">
        <f aca="false">BI23*INPUT!$B$10+BI25*INPUT!$B$67*12*INPUT!$B$12+BI24*(1-INPUT!$B$67)*INPUT!$B$12+BI37+BI41+BI45+BI81</f>
        <v>1601677.92886545</v>
      </c>
    </row>
    <row r="83" customFormat="false" ht="15" hidden="false" customHeight="true" outlineLevel="0" collapsed="false">
      <c r="A83" s="11" t="s">
        <v>280</v>
      </c>
      <c r="B83" s="12" t="n">
        <f aca="false">B79+B51+B52+B54+B56+B64+B8+B65+B66+B71</f>
        <v>125385.326486742</v>
      </c>
      <c r="C83" s="12" t="n">
        <f aca="false">C79+C51+C52+C54+C56+C64+C8+C65+C66+C71</f>
        <v>63974.3122439394</v>
      </c>
      <c r="D83" s="12" t="n">
        <f aca="false">D79+D51+D52+D54+D56+D64+D8+D65+D66+D71</f>
        <v>55408.2192803485</v>
      </c>
      <c r="E83" s="12" t="n">
        <f aca="false">E79+E51+E52+E54+E56+E64+E8+E65+E66+E71</f>
        <v>66778.0403757976</v>
      </c>
      <c r="F83" s="12" t="n">
        <f aca="false">F79+F51+F52+F54+F56+F64+F8+F65+F66+F71</f>
        <v>68090.5395932019</v>
      </c>
      <c r="G83" s="12" t="n">
        <f aca="false">G79+G51+G52+G54+G56+G64+G8+G65+G66+G71</f>
        <v>118935.02579751</v>
      </c>
      <c r="H83" s="12" t="n">
        <f aca="false">H79+H51+H52+H54+H56+H64+H8+H65+H66+H71</f>
        <v>70150.1133672208</v>
      </c>
      <c r="I83" s="12" t="n">
        <f aca="false">I79+I51+I52+I54+I56+I64+I8+I65+I66+I71</f>
        <v>81323.804968323</v>
      </c>
      <c r="J83" s="12" t="n">
        <f aca="false">J79+J51+J52+J54+J56+J64+J8+J65+J66+J71</f>
        <v>72460.231076141</v>
      </c>
      <c r="K83" s="12" t="n">
        <f aca="false">K79+K51+K52+K54+K56+K64+K8+K65+K66+K71</f>
        <v>133563.047434983</v>
      </c>
      <c r="L83" s="12" t="n">
        <f aca="false">L79+L51+L52+L54+L56+L64+L8+L65+L66+L71</f>
        <v>104635.491502712</v>
      </c>
      <c r="M83" s="12" t="n">
        <f aca="false">M79+M51+M52+M54+M56+M64+M8+M65+M66+M71</f>
        <v>95680.4321350484</v>
      </c>
      <c r="N83" s="12" t="n">
        <f aca="false">N79+N51+N52+N54+N56+N64+N8+N65+N66+N71</f>
        <v>131770.39837391</v>
      </c>
      <c r="O83" s="12" t="n">
        <f aca="false">O79+O51+O52+O54+O56+O64+O8+O65+O66+O71</f>
        <v>194471.199741508</v>
      </c>
      <c r="P83" s="12" t="n">
        <f aca="false">P79+P51+P52+P54+P56+P64+P8+P65+P66+P71</f>
        <v>177069.3093857</v>
      </c>
      <c r="Q83" s="12" t="n">
        <f aca="false">Q79+Q51+Q52+Q54+Q56+Q64+Q8+Q65+Q66+Q71</f>
        <v>149575.074977243</v>
      </c>
      <c r="R83" s="12" t="n">
        <f aca="false">R79+R51+R52+R54+R56+R64+R8+R65+R66+R71</f>
        <v>171997.651849804</v>
      </c>
      <c r="S83" s="12" t="n">
        <f aca="false">S79+S51+S52+S54+S56+S64+S8+S65+S66+S71</f>
        <v>214345.144845827</v>
      </c>
      <c r="T83" s="12" t="n">
        <f aca="false">T79+T51+T52+T54+T56+T64+T8+T65+T66+T71</f>
        <v>196624.733171758</v>
      </c>
      <c r="U83" s="12" t="n">
        <f aca="false">U79+U51+U52+U54+U56+U64+U8+U65+U66+U71</f>
        <v>178842.780300739</v>
      </c>
      <c r="V83" s="12" t="n">
        <f aca="false">V79+V51+V52+V54+V56+V64+V8+V65+V66+V71</f>
        <v>211004.930716315</v>
      </c>
      <c r="W83" s="12" t="n">
        <f aca="false">W79+W51+W52+W54+W56+W64+W8+W65+W66+W71</f>
        <v>233116.195075509</v>
      </c>
      <c r="X83" s="12" t="n">
        <f aca="false">X79+X51+X52+X54+X56+X64+X8+X65+X66+X71</f>
        <v>225181.025180215</v>
      </c>
      <c r="Y83" s="12" t="n">
        <f aca="false">Y79+Y51+Y52+Y54+Y56+Y64+Y8+Y65+Y66+Y71</f>
        <v>207203.379979223</v>
      </c>
      <c r="Z83" s="12" t="n">
        <f aca="false">Z79+Z51+Z52+Z54+Z56+Z64+Z8+Z65+Z66+Z71</f>
        <v>303617.836321158</v>
      </c>
      <c r="AA83" s="12" t="n">
        <f aca="false">AA79+AA51+AA52+AA54+AA56+AA64+AA8+AA65+AA66+AA71</f>
        <v>316764.369999781</v>
      </c>
      <c r="AB83" s="12" t="n">
        <f aca="false">AB79+AB51+AB52+AB54+AB56+AB64+AB8+AB65+AB66+AB71</f>
        <v>319788.87004473</v>
      </c>
      <c r="AC83" s="12" t="n">
        <f aca="false">AC79+AC51+AC52+AC54+AC56+AC64+AC8+AC65+AC66+AC71</f>
        <v>292703.490987562</v>
      </c>
      <c r="AD83" s="12" t="n">
        <f aca="false">AD79+AD51+AD52+AD54+AD56+AD64+AD8+AD65+AD66+AD71</f>
        <v>335518.991053659</v>
      </c>
      <c r="AE83" s="12" t="n">
        <f aca="false">AE79+AE51+AE52+AE54+AE56+AE64+AE8+AE65+AE66+AE71</f>
        <v>348244.898163029</v>
      </c>
      <c r="AF83" s="12" t="n">
        <f aca="false">AF79+AF51+AF52+AF54+AF56+AF64+AF8+AF65+AF66+AF71</f>
        <v>350889.656049909</v>
      </c>
      <c r="AG83" s="12" t="n">
        <f aca="false">AG79+AG51+AG52+AG54+AG56+AG64+AG8+AG65+AG66+AG71</f>
        <v>343460.752885944</v>
      </c>
      <c r="AH83" s="12" t="n">
        <f aca="false">AH79+AH51+AH52+AH54+AH56+AH64+AH8+AH65+AH66+AH71</f>
        <v>335964.834505554</v>
      </c>
      <c r="AI83" s="12" t="n">
        <f aca="false">AI79+AI51+AI52+AI54+AI56+AI64+AI8+AI65+AI66+AI71</f>
        <v>398407.804080325</v>
      </c>
      <c r="AJ83" s="12" t="n">
        <f aca="false">AJ79+AJ51+AJ52+AJ54+AJ56+AJ64+AJ8+AJ65+AJ66+AJ71</f>
        <v>400794.909867608</v>
      </c>
      <c r="AK83" s="12" t="n">
        <f aca="false">AK79+AK51+AK52+AK54+AK56+AK64+AK8+AK65+AK66+AK71</f>
        <v>393130.822463575</v>
      </c>
      <c r="AL83" s="12" t="n">
        <f aca="false">AL79+AL51+AL52+AL54+AL56+AL64+AL8+AL65+AL66+AL71</f>
        <v>434884.391910808</v>
      </c>
      <c r="AM83" s="12" t="n">
        <f aca="false">AM79+AM51+AM52+AM54+AM56+AM64+AM8+AM65+AM66+AM71</f>
        <v>498934.947937236</v>
      </c>
      <c r="AN83" s="12" t="n">
        <f aca="false">AN79+AN51+AN52+AN54+AN56+AN64+AN8+AN65+AN66+AN71</f>
        <v>522797.003924722</v>
      </c>
      <c r="AO83" s="12" t="n">
        <f aca="false">AO79+AO51+AO52+AO54+AO56+AO64+AO8+AO65+AO66+AO71</f>
        <v>496489.619673203</v>
      </c>
      <c r="AP83" s="12" t="n">
        <f aca="false">AP79+AP51+AP52+AP54+AP56+AP64+AP8+AP65+AP66+AP71</f>
        <v>480029.656811741</v>
      </c>
      <c r="AQ83" s="12" t="n">
        <f aca="false">AQ79+AQ51+AQ52+AQ54+AQ56+AQ64+AQ8+AQ65+AQ66+AQ71</f>
        <v>533432.040353901</v>
      </c>
      <c r="AR83" s="12" t="n">
        <f aca="false">AR79+AR51+AR52+AR54+AR56+AR64+AR8+AR65+AR66+AR71</f>
        <v>556709.988922113</v>
      </c>
      <c r="AS83" s="12" t="n">
        <f aca="false">AS79+AS51+AS52+AS54+AS56+AS64+AS8+AS65+AS66+AS71</f>
        <v>539875.217399341</v>
      </c>
      <c r="AT83" s="12" t="n">
        <f aca="false">AT79+AT51+AT52+AT54+AT56+AT64+AT8+AT65+AT66+AT71</f>
        <v>532938.115315443</v>
      </c>
      <c r="AU83" s="12" t="n">
        <f aca="false">AU79+AU51+AU52+AU54+AU56+AU64+AU8+AU65+AU66+AU71</f>
        <v>575907.90387872</v>
      </c>
      <c r="AV83" s="12" t="n">
        <f aca="false">AV79+AV51+AV52+AV54+AV56+AV64+AV8+AV65+AV66+AV71</f>
        <v>618792.774213952</v>
      </c>
      <c r="AW83" s="12" t="n">
        <f aca="false">AW79+AW51+AW52+AW54+AW56+AW64+AW8+AW65+AW66+AW71</f>
        <v>581600.009060886</v>
      </c>
      <c r="AX83" s="12" t="n">
        <f aca="false">AX79+AX51+AX52+AX54+AX56+AX64+AX8+AX65+AX66+AX71</f>
        <v>643223.561436939</v>
      </c>
      <c r="AY83" s="12" t="n">
        <f aca="false">AY79+AY51+AY52+AY54+AY56+AY64+AY8+AY65+AY66+AY71</f>
        <v>687735.148659917</v>
      </c>
      <c r="AZ83" s="12" t="n">
        <f aca="false">AZ79+AZ51+AZ52+AZ54+AZ56+AZ64+AZ8+AZ65+AZ66+AZ71</f>
        <v>742050.390963481</v>
      </c>
      <c r="BA83" s="12" t="n">
        <f aca="false">BA79+BA51+BA52+BA54+BA56+BA64+BA8+BA65+BA66+BA71</f>
        <v>716188.545508775</v>
      </c>
      <c r="BB83" s="12" t="n">
        <f aca="false">BB79+BB51+BB52+BB54+BB56+BB64+BB8+BB65+BB66+BB71</f>
        <v>680166.666203338</v>
      </c>
      <c r="BC83" s="12" t="n">
        <f aca="false">BC79+BC51+BC52+BC54+BC56+BC64+BC8+BC65+BC66+BC71</f>
        <v>723999.86540139</v>
      </c>
      <c r="BD83" s="12" t="n">
        <f aca="false">BD79+BD51+BD52+BD54+BD56+BD64+BD8+BD65+BD66+BD71</f>
        <v>787701.544267343</v>
      </c>
      <c r="BE83" s="12" t="n">
        <f aca="false">BE79+BE51+BE52+BE54+BE56+BE64+BE8+BE65+BE66+BE71</f>
        <v>781283.595561255</v>
      </c>
      <c r="BF83" s="12" t="n">
        <f aca="false">BF79+BF51+BF52+BF54+BF56+BF64+BF8+BF65+BF66+BF71</f>
        <v>724756.582153975</v>
      </c>
      <c r="BG83" s="12" t="n">
        <f aca="false">BG79+BG51+BG52+BG54+BG56+BG64+BG8+BG65+BG66+BG71</f>
        <v>668129.894182794</v>
      </c>
      <c r="BH83" s="12" t="n">
        <f aca="false">BH79+BH51+BH52+BH54+BH56+BH64+BH8+BH65+BH66+BH71</f>
        <v>701411.8874092</v>
      </c>
      <c r="BI83" s="12" t="n">
        <f aca="false">BI79+BI51+BI52+BI54+BI56+BI64+BI8+BI65+BI66+BI71</f>
        <v>624610.005032956</v>
      </c>
    </row>
    <row r="84" customFormat="false" ht="15" hidden="false" customHeight="true" outlineLevel="0" collapsed="false">
      <c r="A84" s="11" t="s">
        <v>458</v>
      </c>
      <c r="B84" s="12" t="n">
        <f aca="false">INPUT!$B$66*B83</f>
        <v>313463.316216856</v>
      </c>
      <c r="C84" s="12" t="n">
        <f aca="false">INPUT!$B$66*C83</f>
        <v>159935.780609848</v>
      </c>
      <c r="D84" s="12" t="n">
        <f aca="false">INPUT!$B$66*D83</f>
        <v>138520.548200871</v>
      </c>
      <c r="E84" s="12" t="n">
        <f aca="false">INPUT!$B$66*E83</f>
        <v>166945.100939494</v>
      </c>
      <c r="F84" s="12" t="n">
        <f aca="false">INPUT!$B$66*F83</f>
        <v>170226.348983005</v>
      </c>
      <c r="G84" s="12" t="n">
        <f aca="false">INPUT!$B$66*G83</f>
        <v>297337.564493775</v>
      </c>
      <c r="H84" s="12" t="n">
        <f aca="false">INPUT!$B$66*H83</f>
        <v>175375.283418052</v>
      </c>
      <c r="I84" s="12" t="n">
        <f aca="false">INPUT!$B$66*I83</f>
        <v>203309.512420807</v>
      </c>
      <c r="J84" s="12" t="n">
        <f aca="false">INPUT!$B$66*J83</f>
        <v>181150.577690352</v>
      </c>
      <c r="K84" s="12" t="n">
        <f aca="false">INPUT!$B$66*K83</f>
        <v>333907.618587457</v>
      </c>
      <c r="L84" s="12" t="n">
        <f aca="false">INPUT!$B$66*L83</f>
        <v>261588.72875678</v>
      </c>
      <c r="M84" s="12" t="n">
        <f aca="false">INPUT!$B$66*M83</f>
        <v>239201.080337621</v>
      </c>
      <c r="N84" s="12" t="n">
        <f aca="false">INPUT!$B$66*N83</f>
        <v>329425.995934775</v>
      </c>
      <c r="O84" s="12" t="n">
        <f aca="false">INPUT!$B$66*O83</f>
        <v>486177.99935377</v>
      </c>
      <c r="P84" s="12" t="n">
        <f aca="false">INPUT!$B$66*P83</f>
        <v>442673.27346425</v>
      </c>
      <c r="Q84" s="12" t="n">
        <f aca="false">INPUT!$B$66*Q83</f>
        <v>373937.687443107</v>
      </c>
      <c r="R84" s="12" t="n">
        <f aca="false">INPUT!$B$66*R83</f>
        <v>429994.12962451</v>
      </c>
      <c r="S84" s="12" t="n">
        <f aca="false">INPUT!$B$66*S83</f>
        <v>535862.862114567</v>
      </c>
      <c r="T84" s="12" t="n">
        <f aca="false">INPUT!$B$66*T83</f>
        <v>491561.832929396</v>
      </c>
      <c r="U84" s="12" t="n">
        <f aca="false">INPUT!$B$66*U83</f>
        <v>447106.950751847</v>
      </c>
      <c r="V84" s="12" t="n">
        <f aca="false">INPUT!$B$66*V83</f>
        <v>527512.326790787</v>
      </c>
      <c r="W84" s="12" t="n">
        <f aca="false">INPUT!$B$66*W83</f>
        <v>582790.487688772</v>
      </c>
      <c r="X84" s="12" t="n">
        <f aca="false">INPUT!$B$66*X83</f>
        <v>562952.562950538</v>
      </c>
      <c r="Y84" s="12" t="n">
        <f aca="false">INPUT!$B$66*Y83</f>
        <v>518008.449948058</v>
      </c>
      <c r="Z84" s="12" t="n">
        <f aca="false">INPUT!$B$66*Z83</f>
        <v>759044.590802894</v>
      </c>
      <c r="AA84" s="12" t="n">
        <f aca="false">INPUT!$B$66*AA83</f>
        <v>791910.924999453</v>
      </c>
      <c r="AB84" s="12" t="n">
        <f aca="false">INPUT!$B$66*AB83</f>
        <v>799472.175111825</v>
      </c>
      <c r="AC84" s="12" t="n">
        <f aca="false">INPUT!$B$66*AC83</f>
        <v>731758.727468904</v>
      </c>
      <c r="AD84" s="12" t="n">
        <f aca="false">INPUT!$B$66*AD83</f>
        <v>838797.477634146</v>
      </c>
      <c r="AE84" s="12" t="n">
        <f aca="false">INPUT!$B$66*AE83</f>
        <v>870612.245407572</v>
      </c>
      <c r="AF84" s="12" t="n">
        <f aca="false">INPUT!$B$66*AF83</f>
        <v>877224.140124773</v>
      </c>
      <c r="AG84" s="12" t="n">
        <f aca="false">INPUT!$B$66*AG83</f>
        <v>858651.88221486</v>
      </c>
      <c r="AH84" s="12" t="n">
        <f aca="false">INPUT!$B$66*AH83</f>
        <v>839912.086263886</v>
      </c>
      <c r="AI84" s="12" t="n">
        <f aca="false">INPUT!$B$66*AI83</f>
        <v>996019.510200811</v>
      </c>
      <c r="AJ84" s="12" t="n">
        <f aca="false">INPUT!$B$66*AJ83</f>
        <v>1001987.27466902</v>
      </c>
      <c r="AK84" s="12" t="n">
        <f aca="false">INPUT!$B$66*AK83</f>
        <v>982827.056158938</v>
      </c>
      <c r="AL84" s="12" t="n">
        <f aca="false">INPUT!$B$66*AL83</f>
        <v>1087210.97977702</v>
      </c>
      <c r="AM84" s="12" t="n">
        <f aca="false">INPUT!$B$66*AM83</f>
        <v>1247337.36984309</v>
      </c>
      <c r="AN84" s="12" t="n">
        <f aca="false">INPUT!$B$66*AN83</f>
        <v>1306992.50981181</v>
      </c>
      <c r="AO84" s="12" t="n">
        <f aca="false">INPUT!$B$66*AO83</f>
        <v>1241224.04918301</v>
      </c>
      <c r="AP84" s="12" t="n">
        <f aca="false">INPUT!$B$66*AP83</f>
        <v>1200074.14202935</v>
      </c>
      <c r="AQ84" s="12" t="n">
        <f aca="false">INPUT!$B$66*AQ83</f>
        <v>1333580.10088475</v>
      </c>
      <c r="AR84" s="12" t="n">
        <f aca="false">INPUT!$B$66*AR83</f>
        <v>1391774.97230528</v>
      </c>
      <c r="AS84" s="12" t="n">
        <f aca="false">INPUT!$B$66*AS83</f>
        <v>1349688.04349835</v>
      </c>
      <c r="AT84" s="12" t="n">
        <f aca="false">INPUT!$B$66*AT83</f>
        <v>1332345.28828861</v>
      </c>
      <c r="AU84" s="12" t="n">
        <f aca="false">INPUT!$B$66*AU83</f>
        <v>1439769.7596968</v>
      </c>
      <c r="AV84" s="12" t="n">
        <f aca="false">INPUT!$B$66*AV83</f>
        <v>1546981.93553488</v>
      </c>
      <c r="AW84" s="12" t="n">
        <f aca="false">INPUT!$B$66*AW83</f>
        <v>1454000.02265221</v>
      </c>
      <c r="AX84" s="12" t="n">
        <f aca="false">INPUT!$B$66*AX83</f>
        <v>1608058.90359235</v>
      </c>
      <c r="AY84" s="12" t="n">
        <f aca="false">INPUT!$B$66*AY83</f>
        <v>1719337.87164979</v>
      </c>
      <c r="AZ84" s="12" t="n">
        <f aca="false">INPUT!$B$66*AZ83</f>
        <v>1855125.9774087</v>
      </c>
      <c r="BA84" s="12" t="n">
        <f aca="false">INPUT!$B$66*BA83</f>
        <v>1790471.36377194</v>
      </c>
      <c r="BB84" s="12" t="n">
        <f aca="false">INPUT!$B$66*BB83</f>
        <v>1700416.66550834</v>
      </c>
      <c r="BC84" s="12" t="n">
        <f aca="false">INPUT!$B$66*BC83</f>
        <v>1809999.66350348</v>
      </c>
      <c r="BD84" s="12" t="n">
        <f aca="false">INPUT!$B$66*BD83</f>
        <v>1969253.86066836</v>
      </c>
      <c r="BE84" s="12" t="n">
        <f aca="false">INPUT!$B$66*BE83</f>
        <v>1953208.98890314</v>
      </c>
      <c r="BF84" s="12" t="n">
        <f aca="false">INPUT!$B$66*BF83</f>
        <v>1811891.45538494</v>
      </c>
      <c r="BG84" s="12" t="n">
        <f aca="false">INPUT!$B$66*BG83</f>
        <v>1670324.73545699</v>
      </c>
      <c r="BH84" s="12" t="n">
        <f aca="false">INPUT!$B$66*BH83</f>
        <v>1753529.718523</v>
      </c>
      <c r="BI84" s="12" t="n">
        <f aca="false">INPUT!$B$66*BI83</f>
        <v>1561525.01258239</v>
      </c>
    </row>
    <row r="85" customFormat="false" ht="15" hidden="false" customHeight="true" outlineLevel="0" collapsed="false">
      <c r="A85" s="6" t="s">
        <v>459</v>
      </c>
      <c r="B85" s="22" t="n">
        <f aca="false">INPUT!$B$62+B82-B83</f>
        <v>934268.71700102</v>
      </c>
      <c r="C85" s="22" t="n">
        <f aca="false">B90+C82-C83</f>
        <v>883358.708017388</v>
      </c>
      <c r="D85" s="22" t="n">
        <f aca="false">C90+D82-D83</f>
        <v>852355.810680192</v>
      </c>
      <c r="E85" s="22" t="n">
        <f aca="false">D90+E82-E83</f>
        <v>815778.210313997</v>
      </c>
      <c r="F85" s="22" t="n">
        <f aca="false">E90+F82-F83</f>
        <v>783475.601087113</v>
      </c>
      <c r="G85" s="22" t="n">
        <f aca="false">F90+G82-G83</f>
        <v>705731.104339943</v>
      </c>
      <c r="H85" s="22" t="n">
        <f aca="false">G90+H82-H83</f>
        <v>689196.789229194</v>
      </c>
      <c r="I85" s="22" t="n">
        <f aca="false">H90+I82-I83</f>
        <v>666579.430097157</v>
      </c>
      <c r="J85" s="22" t="n">
        <f aca="false">I90+J82-J83</f>
        <v>657784.805512326</v>
      </c>
      <c r="K85" s="22" t="n">
        <f aca="false">J90+K82-K83</f>
        <v>592728.847333575</v>
      </c>
      <c r="L85" s="22" t="n">
        <f aca="false">K90+L82-L83</f>
        <v>561336.451147344</v>
      </c>
      <c r="M85" s="22" t="n">
        <f aca="false">L90+M82-M83</f>
        <v>543540.428731567</v>
      </c>
      <c r="N85" s="22" t="n">
        <f aca="false">M90+N82-N83</f>
        <v>622996.56496804</v>
      </c>
      <c r="O85" s="22" t="n">
        <f aca="false">N90+O82-O83</f>
        <v>637322.832441378</v>
      </c>
      <c r="P85" s="22" t="n">
        <f aca="false">O90+P82-P83</f>
        <v>681008.413586067</v>
      </c>
      <c r="Q85" s="22" t="n">
        <f aca="false">P90+Q82-Q83</f>
        <v>763810.681778091</v>
      </c>
      <c r="R85" s="22" t="n">
        <f aca="false">Q90+R82-R83</f>
        <v>835513.434216886</v>
      </c>
      <c r="S85" s="22" t="n">
        <f aca="false">R90+S82-S83</f>
        <v>875923.788350817</v>
      </c>
      <c r="T85" s="22" t="n">
        <f aca="false">S90+T82-T83</f>
        <v>944869.449049478</v>
      </c>
      <c r="U85" s="22" t="n">
        <f aca="false">T90+U82-U83</f>
        <v>1042196.30207528</v>
      </c>
      <c r="V85" s="22" t="n">
        <f aca="false">U90+V82-V83</f>
        <v>1117766.29473936</v>
      </c>
      <c r="W85" s="22" t="n">
        <f aca="false">V90+W82-W83</f>
        <v>1181455.56931976</v>
      </c>
      <c r="X85" s="22" t="n">
        <f aca="false">W90+X82-X83</f>
        <v>1263152.81894927</v>
      </c>
      <c r="Y85" s="22" t="n">
        <f aca="false">X90+Y82-Y83</f>
        <v>1372757.83931466</v>
      </c>
      <c r="Z85" s="22" t="n">
        <f aca="false">Y90+Z82-Z83</f>
        <v>1711022.26893581</v>
      </c>
      <c r="AA85" s="22" t="n">
        <f aca="false">Z90+AA82-AA83</f>
        <v>1805593.39782385</v>
      </c>
      <c r="AB85" s="22" t="n">
        <f aca="false">AA90+AB82-AB83</f>
        <v>1911637.24663707</v>
      </c>
      <c r="AC85" s="22" t="n">
        <f aca="false">AB90+AC82-AC83</f>
        <v>2058862.74879601</v>
      </c>
      <c r="AD85" s="22" t="n">
        <f aca="false">AC90+AD82-AD83</f>
        <v>2177010.04786033</v>
      </c>
      <c r="AE85" s="22" t="n">
        <f aca="false">AD90+AE82-AE83</f>
        <v>2295846.84525838</v>
      </c>
      <c r="AF85" s="22" t="n">
        <f aca="false">AE90+AF82-AF83</f>
        <v>2425165.18396556</v>
      </c>
      <c r="AG85" s="22" t="n">
        <f aca="false">AF90+AG82-AG83</f>
        <v>2574778.61587571</v>
      </c>
      <c r="AH85" s="22" t="n">
        <f aca="false">AG90+AH82-AH83</f>
        <v>2744519.70687903</v>
      </c>
      <c r="AI85" s="22" t="n">
        <f aca="false">AH90+AI82-AI83</f>
        <v>2864237.83917689</v>
      </c>
      <c r="AJ85" s="22" t="n">
        <f aca="false">AI90+AJ82-AJ83</f>
        <v>2993797.27521909</v>
      </c>
      <c r="AK85" s="22" t="n">
        <f aca="false">AJ90+AK82-AK83</f>
        <v>3143075.45192118</v>
      </c>
      <c r="AL85" s="22" t="n">
        <f aca="false">AK90+AL82-AL83</f>
        <v>3887954.32130033</v>
      </c>
      <c r="AM85" s="22" t="n">
        <f aca="false">AL90+AM82-AM83</f>
        <v>4062508.68230756</v>
      </c>
      <c r="AN85" s="22" t="n">
        <f aca="false">AM90+AN82-AN83</f>
        <v>4230706.01178626</v>
      </c>
      <c r="AO85" s="22" t="n">
        <f aca="false">AN90+AO82-AO83</f>
        <v>4442111.157626</v>
      </c>
      <c r="AP85" s="22" t="n">
        <f aca="false">AO90+AP82-AP83</f>
        <v>4686335.86912494</v>
      </c>
      <c r="AQ85" s="22" t="n">
        <f aca="false">AP90+AQ82-AQ83</f>
        <v>4893033.30174194</v>
      </c>
      <c r="AR85" s="22" t="n">
        <f aca="false">AQ90+AR82-AR83</f>
        <v>5091893.17795529</v>
      </c>
      <c r="AS85" s="22" t="n">
        <f aca="false">AR90+AS82-AS83</f>
        <v>5322637.5255786</v>
      </c>
      <c r="AT85" s="22" t="n">
        <f aca="false">AS90+AT82-AT83</f>
        <v>5575016.92431968</v>
      </c>
      <c r="AU85" s="22" t="n">
        <f aca="false">AT90+AU82-AU83</f>
        <v>5798807.19967247</v>
      </c>
      <c r="AV85" s="22" t="n">
        <f aca="false">AU90+AV82-AV83</f>
        <v>5993806.51053894</v>
      </c>
      <c r="AW85" s="22" t="n">
        <f aca="false">AV90+AW82-AW83</f>
        <v>6239832.78340839</v>
      </c>
      <c r="AX85" s="22" t="n">
        <f aca="false">AW90+AX82-AX83</f>
        <v>7452289.14566577</v>
      </c>
      <c r="AY85" s="22" t="n">
        <f aca="false">AX90+AY82-AY83</f>
        <v>7737887.10029476</v>
      </c>
      <c r="AZ85" s="22" t="n">
        <f aca="false">AY90+AZ82-AZ83</f>
        <v>7988749.39026527</v>
      </c>
      <c r="BA85" s="22" t="n">
        <f aca="false">AZ90+BA82-BA83</f>
        <v>8284422.78036421</v>
      </c>
      <c r="BB85" s="22" t="n">
        <f aca="false">BA90+BB82-BB83</f>
        <v>8634501.99562598</v>
      </c>
      <c r="BC85" s="22" t="n">
        <f aca="false">BB90+BC82-BC83</f>
        <v>8958624.12680227</v>
      </c>
      <c r="BD85" s="22" t="n">
        <f aca="false">BC90+BD82-BD83</f>
        <v>9236463.70315787</v>
      </c>
      <c r="BE85" s="22" t="n">
        <f aca="false">BD90+BE82-BE83</f>
        <v>9537728.35261408</v>
      </c>
      <c r="BF85" s="22" t="n">
        <f aca="false">BE90+BF82-BF83</f>
        <v>9912154.97885568</v>
      </c>
      <c r="BG85" s="22" t="n">
        <f aca="false">BF90+BG82-BG83</f>
        <v>10359506.3934615</v>
      </c>
      <c r="BH85" s="22" t="n">
        <f aca="false">BG90+BH82-BH83</f>
        <v>10789568.3485487</v>
      </c>
      <c r="BI85" s="22" t="n">
        <f aca="false">BH90+BI82-BI83</f>
        <v>11312146.92196</v>
      </c>
    </row>
    <row r="86" customFormat="false" ht="15" hidden="false" customHeight="true" outlineLevel="0" collapsed="false">
      <c r="A86" s="11" t="s">
        <v>281</v>
      </c>
      <c r="B86" s="12" t="n">
        <f aca="false">MIN(MIN(INPUT!$B$63/INPUT!$B$64,INPUT!$B$63),MAX(0,B85-B84))</f>
        <v>58333.3333333333</v>
      </c>
      <c r="C86" s="12" t="n">
        <f aca="false">MIN(MIN(INPUT!$B$63/INPUT!$B$64,B87),MAX(0,C85-C84))</f>
        <v>58333.3333333333</v>
      </c>
      <c r="D86" s="12" t="n">
        <f aca="false">MIN(MIN(INPUT!$B$63/INPUT!$B$64,C87),MAX(0,D85-D84))</f>
        <v>58333.3333333333</v>
      </c>
      <c r="E86" s="12" t="n">
        <f aca="false">MIN(MIN(INPUT!$B$63/INPUT!$B$64,D87),MAX(0,E85-E84))</f>
        <v>58333.3333333333</v>
      </c>
      <c r="F86" s="12" t="n">
        <f aca="false">MIN(MIN(INPUT!$B$63/INPUT!$B$64,E87),MAX(0,F85-F84))</f>
        <v>58333.3333333333</v>
      </c>
      <c r="G86" s="12" t="n">
        <f aca="false">MIN(MIN(INPUT!$B$63/INPUT!$B$64,F87),MAX(0,G85-G84))</f>
        <v>58333.3333333333</v>
      </c>
      <c r="H86" s="12" t="n">
        <f aca="false">MIN(MIN(INPUT!$B$63/INPUT!$B$64,G87),MAX(0,H85-H84))</f>
        <v>58333.3333333333</v>
      </c>
      <c r="I86" s="12" t="n">
        <f aca="false">MIN(MIN(INPUT!$B$63/INPUT!$B$64,H87),MAX(0,I85-I84))</f>
        <v>58333.3333333333</v>
      </c>
      <c r="J86" s="12" t="n">
        <f aca="false">MIN(MIN(INPUT!$B$63/INPUT!$B$64,I87),MAX(0,J85-J84))</f>
        <v>58333.3333333333</v>
      </c>
      <c r="K86" s="12" t="n">
        <f aca="false">MIN(MIN(INPUT!$B$63/INPUT!$B$64,J87),MAX(0,K85-K84))</f>
        <v>58333.3333333333</v>
      </c>
      <c r="L86" s="12" t="n">
        <f aca="false">MIN(MIN(INPUT!$B$63/INPUT!$B$64,K87),MAX(0,L85-L84))</f>
        <v>58333.3333333333</v>
      </c>
      <c r="M86" s="12" t="n">
        <f aca="false">MIN(MIN(INPUT!$B$63/INPUT!$B$64,L87),MAX(0,M85-M84))</f>
        <v>58333.3333333333</v>
      </c>
      <c r="N86" s="12" t="n">
        <f aca="false">MIN(MIN(INPUT!$B$63/INPUT!$B$64,M87),MAX(0,N85-N84))</f>
        <v>0</v>
      </c>
      <c r="O86" s="12" t="n">
        <f aca="false">MIN(MIN(INPUT!$B$63/INPUT!$B$64,N87),MAX(0,O85-O84))</f>
        <v>0</v>
      </c>
      <c r="P86" s="12" t="n">
        <f aca="false">MIN(MIN(INPUT!$B$63/INPUT!$B$64,O87),MAX(0,P85-P84))</f>
        <v>0</v>
      </c>
      <c r="Q86" s="12" t="n">
        <f aca="false">MIN(MIN(INPUT!$B$63/INPUT!$B$64,P87),MAX(0,Q85-Q84))</f>
        <v>0</v>
      </c>
      <c r="R86" s="12" t="n">
        <f aca="false">MIN(MIN(INPUT!$B$63/INPUT!$B$64,Q87),MAX(0,R85-R84))</f>
        <v>0</v>
      </c>
      <c r="S86" s="12" t="n">
        <f aca="false">MIN(MIN(INPUT!$B$63/INPUT!$B$64,R87),MAX(0,S85-S84))</f>
        <v>0</v>
      </c>
      <c r="T86" s="12" t="n">
        <f aca="false">MIN(MIN(INPUT!$B$63/INPUT!$B$64,S87),MAX(0,T85-T84))</f>
        <v>0</v>
      </c>
      <c r="U86" s="12" t="n">
        <f aca="false">MIN(MIN(INPUT!$B$63/INPUT!$B$64,T87),MAX(0,U85-U84))</f>
        <v>0</v>
      </c>
      <c r="V86" s="12" t="n">
        <f aca="false">MIN(MIN(INPUT!$B$63/INPUT!$B$64,U87),MAX(0,V85-V84))</f>
        <v>0</v>
      </c>
      <c r="W86" s="12" t="n">
        <f aca="false">MIN(MIN(INPUT!$B$63/INPUT!$B$64,V87),MAX(0,W85-W84))</f>
        <v>0</v>
      </c>
      <c r="X86" s="12" t="n">
        <f aca="false">MIN(MIN(INPUT!$B$63/INPUT!$B$64,W87),MAX(0,X85-X84))</f>
        <v>0</v>
      </c>
      <c r="Y86" s="12" t="n">
        <f aca="false">MIN(MIN(INPUT!$B$63/INPUT!$B$64,X87),MAX(0,Y85-Y84))</f>
        <v>0</v>
      </c>
      <c r="Z86" s="12" t="n">
        <f aca="false">MIN(MIN(INPUT!$B$63/INPUT!$B$64,Y87),MAX(0,Z85-Z84))</f>
        <v>0</v>
      </c>
      <c r="AA86" s="12" t="n">
        <f aca="false">MIN(MIN(INPUT!$B$63/INPUT!$B$64,Z87),MAX(0,AA85-AA84))</f>
        <v>0</v>
      </c>
      <c r="AB86" s="12" t="n">
        <f aca="false">MIN(MIN(INPUT!$B$63/INPUT!$B$64,AA87),MAX(0,AB85-AB84))</f>
        <v>0</v>
      </c>
      <c r="AC86" s="12" t="n">
        <f aca="false">MIN(MIN(INPUT!$B$63/INPUT!$B$64,AB87),MAX(0,AC85-AC84))</f>
        <v>0</v>
      </c>
      <c r="AD86" s="12" t="n">
        <f aca="false">MIN(MIN(INPUT!$B$63/INPUT!$B$64,AC87),MAX(0,AD85-AD84))</f>
        <v>0</v>
      </c>
      <c r="AE86" s="12" t="n">
        <f aca="false">MIN(MIN(INPUT!$B$63/INPUT!$B$64,AD87),MAX(0,AE85-AE84))</f>
        <v>0</v>
      </c>
      <c r="AF86" s="12" t="n">
        <f aca="false">MIN(MIN(INPUT!$B$63/INPUT!$B$64,AE87),MAX(0,AF85-AF84))</f>
        <v>0</v>
      </c>
      <c r="AG86" s="12" t="n">
        <f aca="false">MIN(MIN(INPUT!$B$63/INPUT!$B$64,AF87),MAX(0,AG85-AG84))</f>
        <v>0</v>
      </c>
      <c r="AH86" s="12" t="n">
        <f aca="false">MIN(MIN(INPUT!$B$63/INPUT!$B$64,AG87),MAX(0,AH85-AH84))</f>
        <v>0</v>
      </c>
      <c r="AI86" s="12" t="n">
        <f aca="false">MIN(MIN(INPUT!$B$63/INPUT!$B$64,AH87),MAX(0,AI85-AI84))</f>
        <v>0</v>
      </c>
      <c r="AJ86" s="12" t="n">
        <f aca="false">MIN(MIN(INPUT!$B$63/INPUT!$B$64,AI87),MAX(0,AJ85-AJ84))</f>
        <v>0</v>
      </c>
      <c r="AK86" s="12" t="n">
        <f aca="false">MIN(MIN(INPUT!$B$63/INPUT!$B$64,AJ87),MAX(0,AK85-AK84))</f>
        <v>0</v>
      </c>
      <c r="AL86" s="12" t="n">
        <f aca="false">MIN(MIN(INPUT!$B$63/INPUT!$B$64,AK87),MAX(0,AL85-AL84))</f>
        <v>0</v>
      </c>
      <c r="AM86" s="12" t="n">
        <f aca="false">MIN(MIN(INPUT!$B$63/INPUT!$B$64,AL87),MAX(0,AM85-AM84))</f>
        <v>0</v>
      </c>
      <c r="AN86" s="12" t="n">
        <f aca="false">MIN(MIN(INPUT!$B$63/INPUT!$B$64,AM87),MAX(0,AN85-AN84))</f>
        <v>0</v>
      </c>
      <c r="AO86" s="12" t="n">
        <f aca="false">MIN(MIN(INPUT!$B$63/INPUT!$B$64,AN87),MAX(0,AO85-AO84))</f>
        <v>0</v>
      </c>
      <c r="AP86" s="12" t="n">
        <f aca="false">MIN(MIN(INPUT!$B$63/INPUT!$B$64,AO87),MAX(0,AP85-AP84))</f>
        <v>0</v>
      </c>
      <c r="AQ86" s="12" t="n">
        <f aca="false">MIN(MIN(INPUT!$B$63/INPUT!$B$64,AP87),MAX(0,AQ85-AQ84))</f>
        <v>0</v>
      </c>
      <c r="AR86" s="12" t="n">
        <f aca="false">MIN(MIN(INPUT!$B$63/INPUT!$B$64,AQ87),MAX(0,AR85-AR84))</f>
        <v>0</v>
      </c>
      <c r="AS86" s="12" t="n">
        <f aca="false">MIN(MIN(INPUT!$B$63/INPUT!$B$64,AR87),MAX(0,AS85-AS84))</f>
        <v>0</v>
      </c>
      <c r="AT86" s="12" t="n">
        <f aca="false">MIN(MIN(INPUT!$B$63/INPUT!$B$64,AS87),MAX(0,AT85-AT84))</f>
        <v>0</v>
      </c>
      <c r="AU86" s="12" t="n">
        <f aca="false">MIN(MIN(INPUT!$B$63/INPUT!$B$64,AT87),MAX(0,AU85-AU84))</f>
        <v>0</v>
      </c>
      <c r="AV86" s="12" t="n">
        <f aca="false">MIN(MIN(INPUT!$B$63/INPUT!$B$64,AU87),MAX(0,AV85-AV84))</f>
        <v>0</v>
      </c>
      <c r="AW86" s="12" t="n">
        <f aca="false">MIN(MIN(INPUT!$B$63/INPUT!$B$64,AV87),MAX(0,AW85-AW84))</f>
        <v>0</v>
      </c>
      <c r="AX86" s="12" t="n">
        <f aca="false">MIN(MIN(INPUT!$B$63/INPUT!$B$64,AW87),MAX(0,AX85-AX84))</f>
        <v>0</v>
      </c>
      <c r="AY86" s="12" t="n">
        <f aca="false">MIN(MIN(INPUT!$B$63/INPUT!$B$64,AX87),MAX(0,AY85-AY84))</f>
        <v>0</v>
      </c>
      <c r="AZ86" s="12" t="n">
        <f aca="false">MIN(MIN(INPUT!$B$63/INPUT!$B$64,AY87),MAX(0,AZ85-AZ84))</f>
        <v>0</v>
      </c>
      <c r="BA86" s="12" t="n">
        <f aca="false">MIN(MIN(INPUT!$B$63/INPUT!$B$64,AZ87),MAX(0,BA85-BA84))</f>
        <v>0</v>
      </c>
      <c r="BB86" s="12" t="n">
        <f aca="false">MIN(MIN(INPUT!$B$63/INPUT!$B$64,BA87),MAX(0,BB85-BB84))</f>
        <v>0</v>
      </c>
      <c r="BC86" s="12" t="n">
        <f aca="false">MIN(MIN(INPUT!$B$63/INPUT!$B$64,BB87),MAX(0,BC85-BC84))</f>
        <v>0</v>
      </c>
      <c r="BD86" s="12" t="n">
        <f aca="false">MIN(MIN(INPUT!$B$63/INPUT!$B$64,BC87),MAX(0,BD85-BD84))</f>
        <v>0</v>
      </c>
      <c r="BE86" s="12" t="n">
        <f aca="false">MIN(MIN(INPUT!$B$63/INPUT!$B$64,BD87),MAX(0,BE85-BE84))</f>
        <v>0</v>
      </c>
      <c r="BF86" s="12" t="n">
        <f aca="false">MIN(MIN(INPUT!$B$63/INPUT!$B$64,BE87),MAX(0,BF85-BF84))</f>
        <v>0</v>
      </c>
      <c r="BG86" s="12" t="n">
        <f aca="false">MIN(MIN(INPUT!$B$63/INPUT!$B$64,BF87),MAX(0,BG85-BG84))</f>
        <v>0</v>
      </c>
      <c r="BH86" s="12" t="n">
        <f aca="false">MIN(MIN(INPUT!$B$63/INPUT!$B$64,BG87),MAX(0,BH85-BH84))</f>
        <v>0</v>
      </c>
      <c r="BI86" s="12" t="n">
        <f aca="false">MIN(MIN(INPUT!$B$63/INPUT!$B$64,BH87),MAX(0,BI85-BI84))</f>
        <v>0</v>
      </c>
    </row>
    <row r="87" customFormat="false" ht="15" hidden="false" customHeight="true" outlineLevel="0" collapsed="false">
      <c r="A87" s="6" t="s">
        <v>460</v>
      </c>
      <c r="B87" s="22" t="n">
        <f aca="false">INPUT!$B$63-B86</f>
        <v>641666.666666667</v>
      </c>
      <c r="C87" s="22" t="n">
        <f aca="false">B87-C86</f>
        <v>583333.333333333</v>
      </c>
      <c r="D87" s="22" t="n">
        <f aca="false">C87-D86</f>
        <v>525000</v>
      </c>
      <c r="E87" s="22" t="n">
        <f aca="false">D87-E86</f>
        <v>466666.666666667</v>
      </c>
      <c r="F87" s="22" t="n">
        <f aca="false">E87-F86</f>
        <v>408333.333333333</v>
      </c>
      <c r="G87" s="22" t="n">
        <f aca="false">F87-G86</f>
        <v>350000</v>
      </c>
      <c r="H87" s="22" t="n">
        <f aca="false">G87-H86</f>
        <v>291666.666666667</v>
      </c>
      <c r="I87" s="22" t="n">
        <f aca="false">H87-I86</f>
        <v>233333.333333333</v>
      </c>
      <c r="J87" s="22" t="n">
        <f aca="false">I87-J86</f>
        <v>175000</v>
      </c>
      <c r="K87" s="22" t="n">
        <f aca="false">J87-K86</f>
        <v>116666.666666667</v>
      </c>
      <c r="L87" s="22" t="n">
        <f aca="false">K87-L86</f>
        <v>58333.3333333333</v>
      </c>
      <c r="M87" s="22" t="n">
        <f aca="false">L87-M86</f>
        <v>0</v>
      </c>
      <c r="N87" s="22" t="n">
        <f aca="false">M87-N86</f>
        <v>0</v>
      </c>
      <c r="O87" s="22" t="n">
        <f aca="false">N87-O86</f>
        <v>0</v>
      </c>
      <c r="P87" s="22" t="n">
        <f aca="false">O87-P86</f>
        <v>0</v>
      </c>
      <c r="Q87" s="22" t="n">
        <f aca="false">P87-Q86</f>
        <v>0</v>
      </c>
      <c r="R87" s="22" t="n">
        <f aca="false">Q87-R86</f>
        <v>0</v>
      </c>
      <c r="S87" s="22" t="n">
        <f aca="false">R87-S86</f>
        <v>0</v>
      </c>
      <c r="T87" s="22" t="n">
        <f aca="false">S87-T86</f>
        <v>0</v>
      </c>
      <c r="U87" s="22" t="n">
        <f aca="false">T87-U86</f>
        <v>0</v>
      </c>
      <c r="V87" s="22" t="n">
        <f aca="false">U87-V86</f>
        <v>0</v>
      </c>
      <c r="W87" s="22" t="n">
        <f aca="false">V87-W86</f>
        <v>0</v>
      </c>
      <c r="X87" s="22" t="n">
        <f aca="false">W87-X86</f>
        <v>0</v>
      </c>
      <c r="Y87" s="22" t="n">
        <f aca="false">X87-Y86</f>
        <v>0</v>
      </c>
      <c r="Z87" s="22" t="n">
        <f aca="false">Y87-Z86</f>
        <v>0</v>
      </c>
      <c r="AA87" s="22" t="n">
        <f aca="false">Z87-AA86</f>
        <v>0</v>
      </c>
      <c r="AB87" s="22" t="n">
        <f aca="false">AA87-AB86</f>
        <v>0</v>
      </c>
      <c r="AC87" s="22" t="n">
        <f aca="false">AB87-AC86</f>
        <v>0</v>
      </c>
      <c r="AD87" s="22" t="n">
        <f aca="false">AC87-AD86</f>
        <v>0</v>
      </c>
      <c r="AE87" s="22" t="n">
        <f aca="false">AD87-AE86</f>
        <v>0</v>
      </c>
      <c r="AF87" s="22" t="n">
        <f aca="false">AE87-AF86</f>
        <v>0</v>
      </c>
      <c r="AG87" s="22" t="n">
        <f aca="false">AF87-AG86</f>
        <v>0</v>
      </c>
      <c r="AH87" s="22" t="n">
        <f aca="false">AG87-AH86</f>
        <v>0</v>
      </c>
      <c r="AI87" s="22" t="n">
        <f aca="false">AH87-AI86</f>
        <v>0</v>
      </c>
      <c r="AJ87" s="22" t="n">
        <f aca="false">AI87-AJ86</f>
        <v>0</v>
      </c>
      <c r="AK87" s="22" t="n">
        <f aca="false">AJ87-AK86</f>
        <v>0</v>
      </c>
      <c r="AL87" s="22" t="n">
        <f aca="false">AK87-AL86</f>
        <v>0</v>
      </c>
      <c r="AM87" s="22" t="n">
        <f aca="false">AL87-AM86</f>
        <v>0</v>
      </c>
      <c r="AN87" s="22" t="n">
        <f aca="false">AM87-AN86</f>
        <v>0</v>
      </c>
      <c r="AO87" s="22" t="n">
        <f aca="false">AN87-AO86</f>
        <v>0</v>
      </c>
      <c r="AP87" s="22" t="n">
        <f aca="false">AO87-AP86</f>
        <v>0</v>
      </c>
      <c r="AQ87" s="22" t="n">
        <f aca="false">AP87-AQ86</f>
        <v>0</v>
      </c>
      <c r="AR87" s="22" t="n">
        <f aca="false">AQ87-AR86</f>
        <v>0</v>
      </c>
      <c r="AS87" s="22" t="n">
        <f aca="false">AR87-AS86</f>
        <v>0</v>
      </c>
      <c r="AT87" s="22" t="n">
        <f aca="false">AS87-AT86</f>
        <v>0</v>
      </c>
      <c r="AU87" s="22" t="n">
        <f aca="false">AT87-AU86</f>
        <v>0</v>
      </c>
      <c r="AV87" s="22" t="n">
        <f aca="false">AU87-AV86</f>
        <v>0</v>
      </c>
      <c r="AW87" s="22" t="n">
        <f aca="false">AV87-AW86</f>
        <v>0</v>
      </c>
      <c r="AX87" s="22" t="n">
        <f aca="false">AW87-AX86</f>
        <v>0</v>
      </c>
      <c r="AY87" s="22" t="n">
        <f aca="false">AX87-AY86</f>
        <v>0</v>
      </c>
      <c r="AZ87" s="22" t="n">
        <f aca="false">AY87-AZ86</f>
        <v>0</v>
      </c>
      <c r="BA87" s="22" t="n">
        <f aca="false">AZ87-BA86</f>
        <v>0</v>
      </c>
      <c r="BB87" s="22" t="n">
        <f aca="false">BA87-BB86</f>
        <v>0</v>
      </c>
      <c r="BC87" s="22" t="n">
        <f aca="false">BB87-BC86</f>
        <v>0</v>
      </c>
      <c r="BD87" s="22" t="n">
        <f aca="false">BC87-BD86</f>
        <v>0</v>
      </c>
      <c r="BE87" s="22" t="n">
        <f aca="false">BD87-BE86</f>
        <v>0</v>
      </c>
      <c r="BF87" s="22" t="n">
        <f aca="false">BE87-BF86</f>
        <v>0</v>
      </c>
      <c r="BG87" s="22" t="n">
        <f aca="false">BF87-BG86</f>
        <v>0</v>
      </c>
      <c r="BH87" s="22" t="n">
        <f aca="false">BG87-BH86</f>
        <v>0</v>
      </c>
      <c r="BI87" s="22" t="n">
        <f aca="false">BH87-BI86</f>
        <v>0</v>
      </c>
    </row>
    <row r="88" customFormat="false" ht="15" hidden="false" customHeight="true" outlineLevel="0" collapsed="false">
      <c r="A88" s="6" t="s">
        <v>461</v>
      </c>
      <c r="B88" s="22" t="n">
        <f aca="false">B85-B86</f>
        <v>875935.383667687</v>
      </c>
      <c r="C88" s="22" t="n">
        <f aca="false">C85-C86</f>
        <v>825025.374684054</v>
      </c>
      <c r="D88" s="22" t="n">
        <f aca="false">D85-D86</f>
        <v>794022.477346859</v>
      </c>
      <c r="E88" s="22" t="n">
        <f aca="false">E85-E86</f>
        <v>757444.876980664</v>
      </c>
      <c r="F88" s="22" t="n">
        <f aca="false">F85-F86</f>
        <v>725142.26775378</v>
      </c>
      <c r="G88" s="22" t="n">
        <f aca="false">G85-G86</f>
        <v>647397.77100661</v>
      </c>
      <c r="H88" s="22" t="n">
        <f aca="false">H85-H86</f>
        <v>630863.455895861</v>
      </c>
      <c r="I88" s="22" t="n">
        <f aca="false">I85-I86</f>
        <v>608246.096763824</v>
      </c>
      <c r="J88" s="22" t="n">
        <f aca="false">J85-J86</f>
        <v>599451.472178993</v>
      </c>
      <c r="K88" s="22" t="n">
        <f aca="false">K85-K86</f>
        <v>534395.514000242</v>
      </c>
      <c r="L88" s="22" t="n">
        <f aca="false">L85-L86</f>
        <v>503003.117814011</v>
      </c>
      <c r="M88" s="22" t="n">
        <f aca="false">M85-M86</f>
        <v>485207.095398234</v>
      </c>
      <c r="N88" s="22" t="n">
        <f aca="false">N85-N86</f>
        <v>622996.56496804</v>
      </c>
      <c r="O88" s="22" t="n">
        <f aca="false">O85-O86</f>
        <v>637322.832441378</v>
      </c>
      <c r="P88" s="22" t="n">
        <f aca="false">P85-P86</f>
        <v>681008.413586067</v>
      </c>
      <c r="Q88" s="22" t="n">
        <f aca="false">Q85-Q86</f>
        <v>763810.681778091</v>
      </c>
      <c r="R88" s="22" t="n">
        <f aca="false">R85-R86</f>
        <v>835513.434216886</v>
      </c>
      <c r="S88" s="22" t="n">
        <f aca="false">S85-S86</f>
        <v>875923.788350817</v>
      </c>
      <c r="T88" s="22" t="n">
        <f aca="false">T85-T86</f>
        <v>944869.449049478</v>
      </c>
      <c r="U88" s="22" t="n">
        <f aca="false">U85-U86</f>
        <v>1042196.30207528</v>
      </c>
      <c r="V88" s="22" t="n">
        <f aca="false">V85-V86</f>
        <v>1117766.29473936</v>
      </c>
      <c r="W88" s="22" t="n">
        <f aca="false">W85-W86</f>
        <v>1181455.56931976</v>
      </c>
      <c r="X88" s="22" t="n">
        <f aca="false">X85-X86</f>
        <v>1263152.81894927</v>
      </c>
      <c r="Y88" s="22" t="n">
        <f aca="false">Y85-Y86</f>
        <v>1372757.83931466</v>
      </c>
      <c r="Z88" s="22" t="n">
        <f aca="false">Z85-Z86</f>
        <v>1711022.26893581</v>
      </c>
      <c r="AA88" s="22" t="n">
        <f aca="false">AA85-AA86</f>
        <v>1805593.39782385</v>
      </c>
      <c r="AB88" s="22" t="n">
        <f aca="false">AB85-AB86</f>
        <v>1911637.24663707</v>
      </c>
      <c r="AC88" s="22" t="n">
        <f aca="false">AC85-AC86</f>
        <v>2058862.74879601</v>
      </c>
      <c r="AD88" s="22" t="n">
        <f aca="false">AD85-AD86</f>
        <v>2177010.04786033</v>
      </c>
      <c r="AE88" s="22" t="n">
        <f aca="false">AE85-AE86</f>
        <v>2295846.84525838</v>
      </c>
      <c r="AF88" s="22" t="n">
        <f aca="false">AF85-AF86</f>
        <v>2425165.18396556</v>
      </c>
      <c r="AG88" s="22" t="n">
        <f aca="false">AG85-AG86</f>
        <v>2574778.61587571</v>
      </c>
      <c r="AH88" s="22" t="n">
        <f aca="false">AH85-AH86</f>
        <v>2744519.70687903</v>
      </c>
      <c r="AI88" s="22" t="n">
        <f aca="false">AI85-AI86</f>
        <v>2864237.83917689</v>
      </c>
      <c r="AJ88" s="22" t="n">
        <f aca="false">AJ85-AJ86</f>
        <v>2993797.27521909</v>
      </c>
      <c r="AK88" s="22" t="n">
        <f aca="false">AK85-AK86</f>
        <v>3143075.45192118</v>
      </c>
      <c r="AL88" s="22" t="n">
        <f aca="false">AL85-AL86</f>
        <v>3887954.32130033</v>
      </c>
      <c r="AM88" s="22" t="n">
        <f aca="false">AM85-AM86</f>
        <v>4062508.68230756</v>
      </c>
      <c r="AN88" s="22" t="n">
        <f aca="false">AN85-AN86</f>
        <v>4230706.01178626</v>
      </c>
      <c r="AO88" s="22" t="n">
        <f aca="false">AO85-AO86</f>
        <v>4442111.157626</v>
      </c>
      <c r="AP88" s="22" t="n">
        <f aca="false">AP85-AP86</f>
        <v>4686335.86912494</v>
      </c>
      <c r="AQ88" s="22" t="n">
        <f aca="false">AQ85-AQ86</f>
        <v>4893033.30174194</v>
      </c>
      <c r="AR88" s="22" t="n">
        <f aca="false">AR85-AR86</f>
        <v>5091893.17795529</v>
      </c>
      <c r="AS88" s="22" t="n">
        <f aca="false">AS85-AS86</f>
        <v>5322637.5255786</v>
      </c>
      <c r="AT88" s="22" t="n">
        <f aca="false">AT85-AT86</f>
        <v>5575016.92431968</v>
      </c>
      <c r="AU88" s="22" t="n">
        <f aca="false">AU85-AU86</f>
        <v>5798807.19967247</v>
      </c>
      <c r="AV88" s="22" t="n">
        <f aca="false">AV85-AV86</f>
        <v>5993806.51053894</v>
      </c>
      <c r="AW88" s="22" t="n">
        <f aca="false">AW85-AW86</f>
        <v>6239832.78340839</v>
      </c>
      <c r="AX88" s="22" t="n">
        <f aca="false">AX85-AX86</f>
        <v>7452289.14566577</v>
      </c>
      <c r="AY88" s="22" t="n">
        <f aca="false">AY85-AY86</f>
        <v>7737887.10029476</v>
      </c>
      <c r="AZ88" s="22" t="n">
        <f aca="false">AZ85-AZ86</f>
        <v>7988749.39026527</v>
      </c>
      <c r="BA88" s="22" t="n">
        <f aca="false">BA85-BA86</f>
        <v>8284422.78036421</v>
      </c>
      <c r="BB88" s="22" t="n">
        <f aca="false">BB85-BB86</f>
        <v>8634501.99562598</v>
      </c>
      <c r="BC88" s="22" t="n">
        <f aca="false">BC85-BC86</f>
        <v>8958624.12680227</v>
      </c>
      <c r="BD88" s="22" t="n">
        <f aca="false">BD85-BD86</f>
        <v>9236463.70315787</v>
      </c>
      <c r="BE88" s="22" t="n">
        <f aca="false">BE85-BE86</f>
        <v>9537728.35261408</v>
      </c>
      <c r="BF88" s="22" t="n">
        <f aca="false">BF85-BF86</f>
        <v>9912154.97885568</v>
      </c>
      <c r="BG88" s="22" t="n">
        <f aca="false">BG85-BG86</f>
        <v>10359506.3934615</v>
      </c>
      <c r="BH88" s="22" t="n">
        <f aca="false">BH85-BH86</f>
        <v>10789568.3485487</v>
      </c>
      <c r="BI88" s="22" t="n">
        <f aca="false">BI85-BI86</f>
        <v>11312146.92196</v>
      </c>
    </row>
    <row r="89" customFormat="false" ht="15" hidden="false" customHeight="true" outlineLevel="0" collapsed="false">
      <c r="A89" s="11" t="s">
        <v>282</v>
      </c>
      <c r="B89" s="12" t="n">
        <f aca="false">MIN(IF(B72&gt;0,INPUT!$B$65*B72,0),MAX(0,B88-B84))</f>
        <v>677.836920345272</v>
      </c>
      <c r="C89" s="12" t="n">
        <f aca="false">MIN(IF(C72&gt;0,INPUT!$B$65*C72,0),MAX(0,C88-C84))</f>
        <v>1109.64813784965</v>
      </c>
      <c r="D89" s="12" t="n">
        <f aca="false">MIN(IF(D72&gt;0,INPUT!$B$65*D72,0),MAX(0,D88-D84))</f>
        <v>6511.18722461626</v>
      </c>
      <c r="E89" s="12" t="n">
        <f aca="false">MIN(IF(E72&gt;0,INPUT!$B$65*E72,0),MAX(0,E88-E84))</f>
        <v>11608.0524831868</v>
      </c>
      <c r="F89" s="12" t="n">
        <f aca="false">MIN(IF(F72&gt;0,INPUT!$B$65*F72,0),MAX(0,F88-F84))</f>
        <v>16433.8462786266</v>
      </c>
      <c r="G89" s="12" t="n">
        <f aca="false">MIN(IF(G72&gt;0,INPUT!$B$65*G72,0),MAX(0,G88-G84))</f>
        <v>13830.7126545511</v>
      </c>
      <c r="H89" s="12" t="n">
        <f aca="false">MIN(IF(H72&gt;0,INPUT!$B$65*H72,0),MAX(0,H88-H84))</f>
        <v>18199.8104826409</v>
      </c>
      <c r="I89" s="12" t="n">
        <f aca="false">MIN(IF(I72&gt;0,INPUT!$B$65*I72,0),MAX(0,I88-I84))</f>
        <v>22376.7298804416</v>
      </c>
      <c r="J89" s="12" t="n">
        <f aca="false">MIN(IF(J72&gt;0,INPUT!$B$65*J72,0),MAX(0,J88-J84))</f>
        <v>26381.8587040979</v>
      </c>
      <c r="K89" s="12" t="n">
        <f aca="false">MIN(IF(K72&gt;0,INPUT!$B$65*K72,0),MAX(0,K88-K84))</f>
        <v>30233.2051059047</v>
      </c>
      <c r="L89" s="12" t="n">
        <f aca="false">MIN(IF(L72&gt;0,INPUT!$B$65*L72,0),MAX(0,L88-L84))</f>
        <v>33946.6814277963</v>
      </c>
      <c r="M89" s="12" t="n">
        <f aca="false">MIN(IF(M72&gt;0,INPUT!$B$65*M72,0),MAX(0,M88-M84))</f>
        <v>37536.3540693923</v>
      </c>
      <c r="N89" s="12" t="n">
        <f aca="false">MIN(IF(N72&gt;0,INPUT!$B$65*N72,0),MAX(0,N88-N84))</f>
        <v>28553.1702722169</v>
      </c>
      <c r="O89" s="12" t="n">
        <f aca="false">MIN(IF(O72&gt;0,INPUT!$B$65*O72,0),MAX(0,O88-O84))</f>
        <v>38736.0141933454</v>
      </c>
      <c r="P89" s="12" t="n">
        <f aca="false">MIN(IF(P72&gt;0,INPUT!$B$65*P72,0),MAX(0,P88-P84))</f>
        <v>48405.4950497072</v>
      </c>
      <c r="Q89" s="12" t="n">
        <f aca="false">MIN(IF(Q72&gt;0,INPUT!$B$65*Q72,0),MAX(0,Q88-Q84))</f>
        <v>57616.9815408875</v>
      </c>
      <c r="R89" s="12" t="n">
        <f aca="false">MIN(IF(R72&gt;0,INPUT!$B$65*R72,0),MAX(0,R88-R84))</f>
        <v>66419.3539942261</v>
      </c>
      <c r="S89" s="12" t="n">
        <f aca="false">MIN(IF(S72&gt;0,INPUT!$B$65*S72,0),MAX(0,S88-S84))</f>
        <v>74855.7790726936</v>
      </c>
      <c r="T89" s="12" t="n">
        <f aca="false">MIN(IF(T72&gt;0,INPUT!$B$65*T72,0),MAX(0,T88-T84))</f>
        <v>82964.3916152439</v>
      </c>
      <c r="U89" s="12" t="n">
        <f aca="false">MIN(IF(U72&gt;0,INPUT!$B$65*U72,0),MAX(0,U88-U84))</f>
        <v>90778.8947513067</v>
      </c>
      <c r="V89" s="12" t="n">
        <f aca="false">MIN(IF(V72&gt;0,INPUT!$B$65*V72,0),MAX(0,V88-V84))</f>
        <v>98329.0880941528</v>
      </c>
      <c r="W89" s="12" t="n">
        <f aca="false">MIN(IF(W72&gt;0,INPUT!$B$65*W72,0),MAX(0,W88-W84))</f>
        <v>105641.332641348</v>
      </c>
      <c r="X89" s="12" t="n">
        <f aca="false">MIN(IF(X72&gt;0,INPUT!$B$65*X72,0),MAX(0,X88-X84))</f>
        <v>112738.959975189</v>
      </c>
      <c r="Y89" s="12" t="n">
        <f aca="false">MIN(IF(Y72&gt;0,INPUT!$B$65*Y72,0),MAX(0,Y88-Y84))</f>
        <v>119642.63244493</v>
      </c>
      <c r="Z89" s="12" t="n">
        <f aca="false">MIN(IF(Z72&gt;0,INPUT!$B$65*Z72,0),MAX(0,Z88-Z84))</f>
        <v>93082.8331596947</v>
      </c>
      <c r="AA89" s="12" t="n">
        <f aca="false">MIN(IF(AA72&gt;0,INPUT!$B$65*AA72,0),MAX(0,AA88-AA84))</f>
        <v>104390.838767738</v>
      </c>
      <c r="AB89" s="12" t="n">
        <f aca="false">MIN(IF(AB72&gt;0,INPUT!$B$65*AB72,0),MAX(0,AB88-AB84))</f>
        <v>115101.737735596</v>
      </c>
      <c r="AC89" s="12" t="n">
        <f aca="false">MIN(IF(AC72&gt;0,INPUT!$B$65*AC72,0),MAX(0,AC88-AC84))</f>
        <v>125278.523068909</v>
      </c>
      <c r="AD89" s="12" t="n">
        <f aca="false">MIN(IF(AD72&gt;0,INPUT!$B$65*AD72,0),MAX(0,AD88-AD84))</f>
        <v>134976.845107421</v>
      </c>
      <c r="AE89" s="12" t="n">
        <f aca="false">MIN(IF(AE72&gt;0,INPUT!$B$65*AE72,0),MAX(0,AE88-AE84))</f>
        <v>144245.887232516</v>
      </c>
      <c r="AF89" s="12" t="n">
        <f aca="false">MIN(IF(AF72&gt;0,INPUT!$B$65*AF72,0),MAX(0,AF88-AF84))</f>
        <v>153129.13662516</v>
      </c>
      <c r="AG89" s="12" t="n">
        <f aca="false">MIN(IF(AG72&gt;0,INPUT!$B$65*AG72,0),MAX(0,AG88-AG84))</f>
        <v>161665.062664823</v>
      </c>
      <c r="AH89" s="12" t="n">
        <f aca="false">MIN(IF(AH72&gt;0,INPUT!$B$65*AH72,0),MAX(0,AH88-AH84))</f>
        <v>169887.714049147</v>
      </c>
      <c r="AI89" s="12" t="n">
        <f aca="false">MIN(IF(AI72&gt;0,INPUT!$B$65*AI72,0),MAX(0,AI88-AI84))</f>
        <v>177827.244384674</v>
      </c>
      <c r="AJ89" s="12" t="n">
        <f aca="false">MIN(IF(AJ72&gt;0,INPUT!$B$65*AJ72,0),MAX(0,AJ88-AJ84))</f>
        <v>185510.374828964</v>
      </c>
      <c r="AK89" s="12" t="n">
        <f aca="false">MIN(IF(AK72&gt;0,INPUT!$B$65*AK72,0),MAX(0,AK88-AK84))</f>
        <v>192960.801334878</v>
      </c>
      <c r="AL89" s="12" t="n">
        <f aca="false">MIN(IF(AL72&gt;0,INPUT!$B$65*AL72,0),MAX(0,AL88-AL84))</f>
        <v>188493.542296361</v>
      </c>
      <c r="AM89" s="12" t="n">
        <f aca="false">MIN(IF(AM72&gt;0,INPUT!$B$65*AM72,0),MAX(0,AM88-AM84))</f>
        <v>203452.39231395</v>
      </c>
      <c r="AN89" s="12" t="n">
        <f aca="false">MIN(IF(AN72&gt;0,INPUT!$B$65*AN72,0),MAX(0,AN88-AN84))</f>
        <v>217539.366025644</v>
      </c>
      <c r="AO89" s="12" t="n">
        <f aca="false">MIN(IF(AO72&gt;0,INPUT!$B$65*AO72,0),MAX(0,AO88-AO84))</f>
        <v>230846.704344709</v>
      </c>
      <c r="AP89" s="12" t="n">
        <f aca="false">MIN(IF(AP72&gt;0,INPUT!$B$65*AP72,0),MAX(0,AP88-AP84))</f>
        <v>243455.8888809</v>
      </c>
      <c r="AQ89" s="12" t="n">
        <f aca="false">MIN(IF(AQ72&gt;0,INPUT!$B$65*AQ72,0),MAX(0,AQ88-AQ84))</f>
        <v>255438.92531674</v>
      </c>
      <c r="AR89" s="12" t="n">
        <f aca="false">MIN(IF(AR72&gt;0,INPUT!$B$65*AR72,0),MAX(0,AR88-AR84))</f>
        <v>266859.472972133</v>
      </c>
      <c r="AS89" s="12" t="n">
        <f aca="false">MIN(IF(AS72&gt;0,INPUT!$B$65*AS72,0),MAX(0,AS88-AS84))</f>
        <v>277773.839009897</v>
      </c>
      <c r="AT89" s="12" t="n">
        <f aca="false">MIN(IF(AT72&gt;0,INPUT!$B$65*AT72,0),MAX(0,AT88-AT84))</f>
        <v>288231.853520585</v>
      </c>
      <c r="AU89" s="12" t="n">
        <f aca="false">MIN(IF(AU72&gt;0,INPUT!$B$65*AU72,0),MAX(0,AU88-AU84))</f>
        <v>298277.63977647</v>
      </c>
      <c r="AV89" s="12" t="n">
        <f aca="false">MIN(IF(AV72&gt;0,INPUT!$B$65*AV72,0),MAX(0,AV88-AV84))</f>
        <v>307950.292229928</v>
      </c>
      <c r="AW89" s="12" t="n">
        <f aca="false">MIN(IF(AW72&gt;0,INPUT!$B$65*AW72,0),MAX(0,AW88-AW84))</f>
        <v>317284.473322506</v>
      </c>
      <c r="AX89" s="12" t="n">
        <f aca="false">MIN(IF(AX72&gt;0,INPUT!$B$65*AX72,0),MAX(0,AX88-AX84))</f>
        <v>319743.687657781</v>
      </c>
      <c r="AY89" s="12" t="n">
        <f aca="false">MIN(IF(AY72&gt;0,INPUT!$B$65*AY72,0),MAX(0,AY88-AY84))</f>
        <v>336412.462914267</v>
      </c>
      <c r="AZ89" s="12" t="n">
        <f aca="false">MIN(IF(AZ72&gt;0,INPUT!$B$65*AZ72,0),MAX(0,AZ88-AZ84))</f>
        <v>352162.176750055</v>
      </c>
      <c r="BA89" s="12" t="n">
        <f aca="false">MIN(IF(BA72&gt;0,INPUT!$B$65*BA72,0),MAX(0,BA88-BA84))</f>
        <v>367088.144188252</v>
      </c>
      <c r="BB89" s="12" t="n">
        <f aca="false">MIN(IF(BB72&gt;0,INPUT!$B$65*BB72,0),MAX(0,BB88-BB84))</f>
        <v>381274.616757876</v>
      </c>
      <c r="BC89" s="12" t="n">
        <f aca="false">MIN(IF(BC72&gt;0,INPUT!$B$65*BC72,0),MAX(0,BC88-BC84))</f>
        <v>394796.100755431</v>
      </c>
      <c r="BD89" s="12" t="n">
        <f aca="false">MIN(IF(BD72&gt;0,INPUT!$B$65*BD72,0),MAX(0,BD88-BD84))</f>
        <v>407718.517549032</v>
      </c>
      <c r="BE89" s="12" t="n">
        <f aca="false">MIN(IF(BE72&gt;0,INPUT!$B$65*BE72,0),MAX(0,BE88-BE84))</f>
        <v>420100.224874136</v>
      </c>
      <c r="BF89" s="12" t="n">
        <f aca="false">MIN(IF(BF72&gt;0,INPUT!$B$65*BF72,0),MAX(0,BF88-BF84))</f>
        <v>431992.915796169</v>
      </c>
      <c r="BG89" s="12" t="n">
        <f aca="false">MIN(IF(BG72&gt;0,INPUT!$B$65*BG72,0),MAX(0,BG88-BG84))</f>
        <v>443442.410014475</v>
      </c>
      <c r="BH89" s="12" t="n">
        <f aca="false">MIN(IF(BH72&gt;0,INPUT!$B$65*BH72,0),MAX(0,BH88-BH84))</f>
        <v>454489.350421205</v>
      </c>
      <c r="BI89" s="12" t="n">
        <f aca="false">MIN(IF(BI72&gt;0,INPUT!$B$65*BI72,0),MAX(0,BI88-BI84))</f>
        <v>465169.816279256</v>
      </c>
    </row>
    <row r="90" customFormat="false" ht="15" hidden="false" customHeight="true" outlineLevel="0" collapsed="false">
      <c r="A90" s="4" t="s">
        <v>462</v>
      </c>
      <c r="B90" s="10" t="n">
        <f aca="false">B88-B89</f>
        <v>875257.546747341</v>
      </c>
      <c r="C90" s="10" t="n">
        <f aca="false">C88-C89</f>
        <v>823915.726546205</v>
      </c>
      <c r="D90" s="10" t="n">
        <f aca="false">D88-D89</f>
        <v>787511.290122242</v>
      </c>
      <c r="E90" s="10" t="n">
        <f aca="false">E88-E89</f>
        <v>745836.824497477</v>
      </c>
      <c r="F90" s="10" t="n">
        <f aca="false">F88-F89</f>
        <v>708708.421475153</v>
      </c>
      <c r="G90" s="10" t="n">
        <f aca="false">G88-G89</f>
        <v>633567.058352059</v>
      </c>
      <c r="H90" s="10" t="n">
        <f aca="false">H88-H89</f>
        <v>612663.64541322</v>
      </c>
      <c r="I90" s="10" t="n">
        <f aca="false">I88-I89</f>
        <v>585869.366883382</v>
      </c>
      <c r="J90" s="10" t="n">
        <f aca="false">J88-J89</f>
        <v>573069.613474895</v>
      </c>
      <c r="K90" s="10" t="n">
        <f aca="false">K88-K89</f>
        <v>504162.308894337</v>
      </c>
      <c r="L90" s="10" t="n">
        <f aca="false">L88-L89</f>
        <v>469056.436386214</v>
      </c>
      <c r="M90" s="10" t="n">
        <f aca="false">M88-M89</f>
        <v>447670.741328841</v>
      </c>
      <c r="N90" s="10" t="n">
        <f aca="false">N88-N89</f>
        <v>594443.394695823</v>
      </c>
      <c r="O90" s="10" t="n">
        <f aca="false">O88-O89</f>
        <v>598586.818248033</v>
      </c>
      <c r="P90" s="10" t="n">
        <f aca="false">P88-P89</f>
        <v>632602.91853636</v>
      </c>
      <c r="Q90" s="10" t="n">
        <f aca="false">Q88-Q89</f>
        <v>706193.700237203</v>
      </c>
      <c r="R90" s="10" t="n">
        <f aca="false">R88-R89</f>
        <v>769094.08022266</v>
      </c>
      <c r="S90" s="10" t="n">
        <f aca="false">S88-S89</f>
        <v>801068.009278123</v>
      </c>
      <c r="T90" s="10" t="n">
        <f aca="false">T88-T89</f>
        <v>861905.057434235</v>
      </c>
      <c r="U90" s="10" t="n">
        <f aca="false">U88-U89</f>
        <v>951417.407323969</v>
      </c>
      <c r="V90" s="10" t="n">
        <f aca="false">V88-V89</f>
        <v>1019437.2066452</v>
      </c>
      <c r="W90" s="10" t="n">
        <f aca="false">W88-W89</f>
        <v>1075814.23667841</v>
      </c>
      <c r="X90" s="10" t="n">
        <f aca="false">X88-X89</f>
        <v>1150413.85897408</v>
      </c>
      <c r="Y90" s="10" t="n">
        <f aca="false">Y88-Y89</f>
        <v>1253115.20686973</v>
      </c>
      <c r="Z90" s="10" t="n">
        <f aca="false">Z88-Z89</f>
        <v>1617939.43577612</v>
      </c>
      <c r="AA90" s="10" t="n">
        <f aca="false">AA88-AA89</f>
        <v>1701202.55905611</v>
      </c>
      <c r="AB90" s="10" t="n">
        <f aca="false">AB88-AB89</f>
        <v>1796535.50890147</v>
      </c>
      <c r="AC90" s="10" t="n">
        <f aca="false">AC88-AC89</f>
        <v>1933584.2257271</v>
      </c>
      <c r="AD90" s="10" t="n">
        <f aca="false">AD88-AD89</f>
        <v>2042033.20275291</v>
      </c>
      <c r="AE90" s="10" t="n">
        <f aca="false">AE88-AE89</f>
        <v>2151600.95802587</v>
      </c>
      <c r="AF90" s="10" t="n">
        <f aca="false">AF88-AF89</f>
        <v>2272036.0473404</v>
      </c>
      <c r="AG90" s="10" t="n">
        <f aca="false">AG88-AG89</f>
        <v>2413113.55321089</v>
      </c>
      <c r="AH90" s="10" t="n">
        <f aca="false">AH88-AH89</f>
        <v>2574631.99282988</v>
      </c>
      <c r="AI90" s="10" t="n">
        <f aca="false">AI88-AI89</f>
        <v>2686410.59479222</v>
      </c>
      <c r="AJ90" s="10" t="n">
        <f aca="false">AJ88-AJ89</f>
        <v>2808286.90039013</v>
      </c>
      <c r="AK90" s="10" t="n">
        <f aca="false">AK88-AK89</f>
        <v>2950114.6505863</v>
      </c>
      <c r="AL90" s="10" t="n">
        <f aca="false">AL88-AL89</f>
        <v>3699460.77900396</v>
      </c>
      <c r="AM90" s="10" t="n">
        <f aca="false">AM88-AM89</f>
        <v>3859056.28999361</v>
      </c>
      <c r="AN90" s="10" t="n">
        <f aca="false">AN88-AN89</f>
        <v>4013166.64576061</v>
      </c>
      <c r="AO90" s="10" t="n">
        <f aca="false">AO88-AO89</f>
        <v>4211264.45328129</v>
      </c>
      <c r="AP90" s="10" t="n">
        <f aca="false">AP88-AP89</f>
        <v>4442879.98024404</v>
      </c>
      <c r="AQ90" s="10" t="n">
        <f aca="false">AQ88-AQ89</f>
        <v>4637594.3764252</v>
      </c>
      <c r="AR90" s="10" t="n">
        <f aca="false">AR88-AR89</f>
        <v>4825033.70498316</v>
      </c>
      <c r="AS90" s="10" t="n">
        <f aca="false">AS88-AS89</f>
        <v>5044863.6865687</v>
      </c>
      <c r="AT90" s="10" t="n">
        <f aca="false">AT88-AT89</f>
        <v>5286785.07079909</v>
      </c>
      <c r="AU90" s="10" t="n">
        <f aca="false">AU88-AU89</f>
        <v>5500529.559896</v>
      </c>
      <c r="AV90" s="10" t="n">
        <f aca="false">AV88-AV89</f>
        <v>5685856.21830901</v>
      </c>
      <c r="AW90" s="10" t="n">
        <f aca="false">AW88-AW89</f>
        <v>5922548.31008589</v>
      </c>
      <c r="AX90" s="10" t="n">
        <f aca="false">AX88-AX89</f>
        <v>7132545.45800799</v>
      </c>
      <c r="AY90" s="10" t="n">
        <f aca="false">AY88-AY89</f>
        <v>7401474.6373805</v>
      </c>
      <c r="AZ90" s="10" t="n">
        <f aca="false">AZ88-AZ89</f>
        <v>7636587.21351522</v>
      </c>
      <c r="BA90" s="10" t="n">
        <f aca="false">BA88-BA89</f>
        <v>7917334.63617595</v>
      </c>
      <c r="BB90" s="10" t="n">
        <f aca="false">BB88-BB89</f>
        <v>8253227.37886811</v>
      </c>
      <c r="BC90" s="10" t="n">
        <f aca="false">BC88-BC89</f>
        <v>8563828.02604684</v>
      </c>
      <c r="BD90" s="10" t="n">
        <f aca="false">BD88-BD89</f>
        <v>8828745.18560884</v>
      </c>
      <c r="BE90" s="10" t="n">
        <f aca="false">BE88-BE89</f>
        <v>9117628.12773994</v>
      </c>
      <c r="BF90" s="10" t="n">
        <f aca="false">BF88-BF89</f>
        <v>9480162.06305951</v>
      </c>
      <c r="BG90" s="10" t="n">
        <f aca="false">BG88-BG89</f>
        <v>9916063.98344704</v>
      </c>
      <c r="BH90" s="10" t="n">
        <f aca="false">BH88-BH89</f>
        <v>10335078.9981275</v>
      </c>
      <c r="BI90" s="10" t="n">
        <f aca="false">BI88-BI89</f>
        <v>10846977.1056807</v>
      </c>
    </row>
    <row r="91" customFormat="false" ht="15" hidden="false" customHeight="true" outlineLevel="0" collapsed="false">
      <c r="A91" s="11" t="s">
        <v>13</v>
      </c>
      <c r="B91" s="12" t="n">
        <f aca="false">B86+B89</f>
        <v>59011.1702536786</v>
      </c>
      <c r="C91" s="12" t="n">
        <f aca="false">C86+C89</f>
        <v>59442.981471183</v>
      </c>
      <c r="D91" s="12" t="n">
        <f aca="false">D86+D89</f>
        <v>64844.5205579496</v>
      </c>
      <c r="E91" s="12" t="n">
        <f aca="false">E86+E89</f>
        <v>69941.3858165201</v>
      </c>
      <c r="F91" s="12" t="n">
        <f aca="false">F86+F89</f>
        <v>74767.1796119599</v>
      </c>
      <c r="G91" s="12" t="n">
        <f aca="false">G86+G89</f>
        <v>72164.0459878844</v>
      </c>
      <c r="H91" s="12" t="n">
        <f aca="false">H86+H89</f>
        <v>76533.1438159743</v>
      </c>
      <c r="I91" s="12" t="n">
        <f aca="false">I86+I89</f>
        <v>80710.0632137749</v>
      </c>
      <c r="J91" s="12" t="n">
        <f aca="false">J86+J89</f>
        <v>84715.1920374313</v>
      </c>
      <c r="K91" s="12" t="n">
        <f aca="false">K86+K89</f>
        <v>88566.538439238</v>
      </c>
      <c r="L91" s="12" t="n">
        <f aca="false">L86+L89</f>
        <v>92280.0147611296</v>
      </c>
      <c r="M91" s="12" t="n">
        <f aca="false">M86+M89</f>
        <v>95869.6874027255</v>
      </c>
      <c r="N91" s="12" t="n">
        <f aca="false">N86+N89</f>
        <v>28553.1702722169</v>
      </c>
      <c r="O91" s="12" t="n">
        <f aca="false">O86+O89</f>
        <v>38736.0141933454</v>
      </c>
      <c r="P91" s="12" t="n">
        <f aca="false">P86+P89</f>
        <v>48405.4950497072</v>
      </c>
      <c r="Q91" s="12" t="n">
        <f aca="false">Q86+Q89</f>
        <v>57616.9815408875</v>
      </c>
      <c r="R91" s="12" t="n">
        <f aca="false">R86+R89</f>
        <v>66419.3539942261</v>
      </c>
      <c r="S91" s="12" t="n">
        <f aca="false">S86+S89</f>
        <v>74855.7790726936</v>
      </c>
      <c r="T91" s="12" t="n">
        <f aca="false">T86+T89</f>
        <v>82964.3916152439</v>
      </c>
      <c r="U91" s="12" t="n">
        <f aca="false">U86+U89</f>
        <v>90778.8947513067</v>
      </c>
      <c r="V91" s="12" t="n">
        <f aca="false">V86+V89</f>
        <v>98329.0880941528</v>
      </c>
      <c r="W91" s="12" t="n">
        <f aca="false">W86+W89</f>
        <v>105641.332641348</v>
      </c>
      <c r="X91" s="12" t="n">
        <f aca="false">X86+X89</f>
        <v>112738.959975189</v>
      </c>
      <c r="Y91" s="12" t="n">
        <f aca="false">Y86+Y89</f>
        <v>119642.63244493</v>
      </c>
      <c r="Z91" s="12" t="n">
        <f aca="false">Z86+Z89</f>
        <v>93082.8331596947</v>
      </c>
      <c r="AA91" s="12" t="n">
        <f aca="false">AA86+AA89</f>
        <v>104390.838767738</v>
      </c>
      <c r="AB91" s="12" t="n">
        <f aca="false">AB86+AB89</f>
        <v>115101.737735596</v>
      </c>
      <c r="AC91" s="12" t="n">
        <f aca="false">AC86+AC89</f>
        <v>125278.523068909</v>
      </c>
      <c r="AD91" s="12" t="n">
        <f aca="false">AD86+AD89</f>
        <v>134976.845107421</v>
      </c>
      <c r="AE91" s="12" t="n">
        <f aca="false">AE86+AE89</f>
        <v>144245.887232516</v>
      </c>
      <c r="AF91" s="12" t="n">
        <f aca="false">AF86+AF89</f>
        <v>153129.13662516</v>
      </c>
      <c r="AG91" s="12" t="n">
        <f aca="false">AG86+AG89</f>
        <v>161665.062664823</v>
      </c>
      <c r="AH91" s="12" t="n">
        <f aca="false">AH86+AH89</f>
        <v>169887.714049147</v>
      </c>
      <c r="AI91" s="12" t="n">
        <f aca="false">AI86+AI89</f>
        <v>177827.244384674</v>
      </c>
      <c r="AJ91" s="12" t="n">
        <f aca="false">AJ86+AJ89</f>
        <v>185510.374828964</v>
      </c>
      <c r="AK91" s="12" t="n">
        <f aca="false">AK86+AK89</f>
        <v>192960.801334878</v>
      </c>
      <c r="AL91" s="12" t="n">
        <f aca="false">AL86+AL89</f>
        <v>188493.542296361</v>
      </c>
      <c r="AM91" s="12" t="n">
        <f aca="false">AM86+AM89</f>
        <v>203452.39231395</v>
      </c>
      <c r="AN91" s="12" t="n">
        <f aca="false">AN86+AN89</f>
        <v>217539.366025644</v>
      </c>
      <c r="AO91" s="12" t="n">
        <f aca="false">AO86+AO89</f>
        <v>230846.704344709</v>
      </c>
      <c r="AP91" s="12" t="n">
        <f aca="false">AP86+AP89</f>
        <v>243455.8888809</v>
      </c>
      <c r="AQ91" s="12" t="n">
        <f aca="false">AQ86+AQ89</f>
        <v>255438.92531674</v>
      </c>
      <c r="AR91" s="12" t="n">
        <f aca="false">AR86+AR89</f>
        <v>266859.472972133</v>
      </c>
      <c r="AS91" s="12" t="n">
        <f aca="false">AS86+AS89</f>
        <v>277773.839009897</v>
      </c>
      <c r="AT91" s="12" t="n">
        <f aca="false">AT86+AT89</f>
        <v>288231.853520585</v>
      </c>
      <c r="AU91" s="12" t="n">
        <f aca="false">AU86+AU89</f>
        <v>298277.63977647</v>
      </c>
      <c r="AV91" s="12" t="n">
        <f aca="false">AV86+AV89</f>
        <v>307950.292229928</v>
      </c>
      <c r="AW91" s="12" t="n">
        <f aca="false">AW86+AW89</f>
        <v>317284.473322506</v>
      </c>
      <c r="AX91" s="12" t="n">
        <f aca="false">AX86+AX89</f>
        <v>319743.687657781</v>
      </c>
      <c r="AY91" s="12" t="n">
        <f aca="false">AY86+AY89</f>
        <v>336412.462914267</v>
      </c>
      <c r="AZ91" s="12" t="n">
        <f aca="false">AZ86+AZ89</f>
        <v>352162.176750055</v>
      </c>
      <c r="BA91" s="12" t="n">
        <f aca="false">BA86+BA89</f>
        <v>367088.144188252</v>
      </c>
      <c r="BB91" s="12" t="n">
        <f aca="false">BB86+BB89</f>
        <v>381274.616757876</v>
      </c>
      <c r="BC91" s="12" t="n">
        <f aca="false">BC86+BC89</f>
        <v>394796.100755431</v>
      </c>
      <c r="BD91" s="12" t="n">
        <f aca="false">BD86+BD89</f>
        <v>407718.517549032</v>
      </c>
      <c r="BE91" s="12" t="n">
        <f aca="false">BE86+BE89</f>
        <v>420100.224874136</v>
      </c>
      <c r="BF91" s="12" t="n">
        <f aca="false">BF86+BF89</f>
        <v>431992.915796169</v>
      </c>
      <c r="BG91" s="12" t="n">
        <f aca="false">BG86+BG89</f>
        <v>443442.410014475</v>
      </c>
      <c r="BH91" s="12" t="n">
        <f aca="false">BH86+BH89</f>
        <v>454489.350421205</v>
      </c>
      <c r="BI91" s="12" t="n">
        <f aca="false">BI86+BI89</f>
        <v>465169.816279256</v>
      </c>
    </row>
    <row r="92" customFormat="false" ht="15" hidden="false" customHeight="true" outlineLevel="0" collapsed="false">
      <c r="A92" s="4" t="s">
        <v>14</v>
      </c>
      <c r="B92" s="10" t="n">
        <f aca="false">B72-B91</f>
        <v>-58107.3876932183</v>
      </c>
      <c r="C92" s="10" t="n">
        <f aca="false">C72-C91</f>
        <v>-57963.4506207168</v>
      </c>
      <c r="D92" s="10" t="n">
        <f aca="false">D72-D91</f>
        <v>-56162.9375917946</v>
      </c>
      <c r="E92" s="10" t="n">
        <f aca="false">E72-E91</f>
        <v>-54463.9825056044</v>
      </c>
      <c r="F92" s="10" t="n">
        <f aca="false">F72-F91</f>
        <v>-52855.3845737912</v>
      </c>
      <c r="G92" s="10" t="n">
        <f aca="false">G72-G91</f>
        <v>-53723.0957818163</v>
      </c>
      <c r="H92" s="10" t="n">
        <f aca="false">H72-H91</f>
        <v>-52266.7298391197</v>
      </c>
      <c r="I92" s="10" t="n">
        <f aca="false">I72-I91</f>
        <v>-50874.4233731861</v>
      </c>
      <c r="J92" s="10" t="n">
        <f aca="false">J72-J91</f>
        <v>-49539.3804319674</v>
      </c>
      <c r="K92" s="10" t="n">
        <f aca="false">K72-K91</f>
        <v>-48255.5982980318</v>
      </c>
      <c r="L92" s="10" t="n">
        <f aca="false">L72-L91</f>
        <v>-47017.7728574012</v>
      </c>
      <c r="M92" s="10" t="n">
        <f aca="false">M72-M91</f>
        <v>-45821.2153102025</v>
      </c>
      <c r="N92" s="10" t="n">
        <f aca="false">N72-N91</f>
        <v>9517.7234240723</v>
      </c>
      <c r="O92" s="10" t="n">
        <f aca="false">O72-O91</f>
        <v>12912.0047311151</v>
      </c>
      <c r="P92" s="10" t="n">
        <f aca="false">P72-P91</f>
        <v>16135.1650165691</v>
      </c>
      <c r="Q92" s="10" t="n">
        <f aca="false">Q72-Q91</f>
        <v>19205.6605136292</v>
      </c>
      <c r="R92" s="10" t="n">
        <f aca="false">R72-R91</f>
        <v>22139.784664742</v>
      </c>
      <c r="S92" s="10" t="n">
        <f aca="false">S72-S91</f>
        <v>24951.9263575645</v>
      </c>
      <c r="T92" s="10" t="n">
        <f aca="false">T72-T91</f>
        <v>27654.7972050813</v>
      </c>
      <c r="U92" s="10" t="n">
        <f aca="false">U72-U91</f>
        <v>30259.6315837689</v>
      </c>
      <c r="V92" s="10" t="n">
        <f aca="false">V72-V91</f>
        <v>32776.3626980509</v>
      </c>
      <c r="W92" s="10" t="n">
        <f aca="false">W72-W91</f>
        <v>35213.7775471159</v>
      </c>
      <c r="X92" s="10" t="n">
        <f aca="false">X72-X91</f>
        <v>37579.6533250632</v>
      </c>
      <c r="Y92" s="10" t="n">
        <f aca="false">Y72-Y91</f>
        <v>39880.8774816434</v>
      </c>
      <c r="Z92" s="10" t="n">
        <f aca="false">Z72-Z91</f>
        <v>31027.6110532316</v>
      </c>
      <c r="AA92" s="10" t="n">
        <f aca="false">AA72-AA91</f>
        <v>34796.9462559126</v>
      </c>
      <c r="AB92" s="10" t="n">
        <f aca="false">AB72-AB91</f>
        <v>38367.2459118653</v>
      </c>
      <c r="AC92" s="10" t="n">
        <f aca="false">AC72-AC91</f>
        <v>41759.5076896363</v>
      </c>
      <c r="AD92" s="10" t="n">
        <f aca="false">AD72-AD91</f>
        <v>44992.2817024737</v>
      </c>
      <c r="AE92" s="10" t="n">
        <f aca="false">AE72-AE91</f>
        <v>48081.9624108386</v>
      </c>
      <c r="AF92" s="10" t="n">
        <f aca="false">AF72-AF91</f>
        <v>51043.0455417201</v>
      </c>
      <c r="AG92" s="10" t="n">
        <f aca="false">AG72-AG91</f>
        <v>53888.3542216078</v>
      </c>
      <c r="AH92" s="10" t="n">
        <f aca="false">AH72-AH91</f>
        <v>56629.2380163823</v>
      </c>
      <c r="AI92" s="10" t="n">
        <f aca="false">AI72-AI91</f>
        <v>59275.7481282245</v>
      </c>
      <c r="AJ92" s="10" t="n">
        <f aca="false">AJ72-AJ91</f>
        <v>61836.7916096546</v>
      </c>
      <c r="AK92" s="10" t="n">
        <f aca="false">AK72-AK91</f>
        <v>64320.2671116262</v>
      </c>
      <c r="AL92" s="10" t="n">
        <f aca="false">AL72-AL91</f>
        <v>62831.1807654537</v>
      </c>
      <c r="AM92" s="10" t="n">
        <f aca="false">AM72-AM91</f>
        <v>67817.4641046499</v>
      </c>
      <c r="AN92" s="10" t="n">
        <f aca="false">AN72-AN91</f>
        <v>72513.1220085481</v>
      </c>
      <c r="AO92" s="10" t="n">
        <f aca="false">AO72-AO91</f>
        <v>76948.9014482362</v>
      </c>
      <c r="AP92" s="10" t="n">
        <f aca="false">AP72-AP91</f>
        <v>81151.9629603001</v>
      </c>
      <c r="AQ92" s="10" t="n">
        <f aca="false">AQ72-AQ91</f>
        <v>85146.3084389134</v>
      </c>
      <c r="AR92" s="10" t="n">
        <f aca="false">AR72-AR91</f>
        <v>88953.1576573777</v>
      </c>
      <c r="AS92" s="10" t="n">
        <f aca="false">AS72-AS91</f>
        <v>92591.2796699657</v>
      </c>
      <c r="AT92" s="10" t="n">
        <f aca="false">AT72-AT91</f>
        <v>96077.2845068615</v>
      </c>
      <c r="AU92" s="10" t="n">
        <f aca="false">AU72-AU91</f>
        <v>99425.8799254898</v>
      </c>
      <c r="AV92" s="10" t="n">
        <f aca="false">AV72-AV91</f>
        <v>102650.097409976</v>
      </c>
      <c r="AW92" s="10" t="n">
        <f aca="false">AW72-AW91</f>
        <v>105761.491107502</v>
      </c>
      <c r="AX92" s="10" t="n">
        <f aca="false">AX72-AX91</f>
        <v>106581.22921926</v>
      </c>
      <c r="AY92" s="10" t="n">
        <f aca="false">AY72-AY91</f>
        <v>112137.487638089</v>
      </c>
      <c r="AZ92" s="10" t="n">
        <f aca="false">AZ72-AZ91</f>
        <v>117387.392250018</v>
      </c>
      <c r="BA92" s="10" t="n">
        <f aca="false">BA72-BA91</f>
        <v>122362.714729417</v>
      </c>
      <c r="BB92" s="10" t="n">
        <f aca="false">BB72-BB91</f>
        <v>127091.538919292</v>
      </c>
      <c r="BC92" s="10" t="n">
        <f aca="false">BC72-BC91</f>
        <v>131598.70025181</v>
      </c>
      <c r="BD92" s="10" t="n">
        <f aca="false">BD72-BD91</f>
        <v>135906.172516344</v>
      </c>
      <c r="BE92" s="10" t="n">
        <f aca="false">BE72-BE91</f>
        <v>140033.408291379</v>
      </c>
      <c r="BF92" s="10" t="n">
        <f aca="false">BF72-BF91</f>
        <v>143997.638598723</v>
      </c>
      <c r="BG92" s="10" t="n">
        <f aca="false">BG72-BG91</f>
        <v>147814.136671492</v>
      </c>
      <c r="BH92" s="10" t="n">
        <f aca="false">BH72-BH91</f>
        <v>151496.450140402</v>
      </c>
      <c r="BI92" s="10" t="n">
        <f aca="false">BI72-BI91</f>
        <v>155056.605426419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7A6A"/>
    <pageSetUpPr fitToPage="false"/>
  </sheetPr>
  <dimension ref="A1:H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7" min="2" style="1" width="11"/>
    <col collapsed="false" customWidth="true" hidden="false" outlineLevel="0" max="8" min="8" style="1" width="60"/>
  </cols>
  <sheetData>
    <row r="1" customFormat="false" ht="15.75" hidden="false" customHeight="true" outlineLevel="0" collapsed="false">
      <c r="A1" s="14" t="s">
        <v>463</v>
      </c>
    </row>
    <row r="2" customFormat="false" ht="15" hidden="false" customHeight="true" outlineLevel="0" collapsed="false">
      <c r="A2" s="6" t="s">
        <v>464</v>
      </c>
    </row>
    <row r="4" customFormat="false" ht="15" hidden="false" customHeight="true" outlineLevel="0" collapsed="false">
      <c r="A4" s="7" t="s">
        <v>465</v>
      </c>
      <c r="B4" s="8"/>
      <c r="C4" s="8"/>
      <c r="D4" s="8"/>
      <c r="E4" s="8"/>
      <c r="F4" s="8"/>
      <c r="G4" s="8"/>
      <c r="H4" s="8"/>
    </row>
    <row r="5" customFormat="false" ht="15" hidden="false" customHeight="true" outlineLevel="0" collapsed="false">
      <c r="A5" s="4" t="s">
        <v>2</v>
      </c>
      <c r="B5" s="63" t="n">
        <v>1</v>
      </c>
      <c r="D5" s="64" t="str">
        <f aca="false">CHOOSE($B$5,"BASIS (realistisch)","ZIEL (Upside)","STRESS (Boden)")</f>
        <v>BASIS (realistisch)</v>
      </c>
    </row>
    <row r="7" customFormat="false" ht="15" hidden="false" customHeight="true" outlineLevel="0" collapsed="false">
      <c r="A7" s="7" t="s">
        <v>466</v>
      </c>
      <c r="B7" s="8"/>
      <c r="C7" s="8"/>
      <c r="D7" s="8"/>
      <c r="E7" s="8"/>
      <c r="F7" s="8"/>
      <c r="G7" s="8"/>
      <c r="H7" s="8"/>
    </row>
    <row r="8" customFormat="false" ht="15" hidden="false" customHeight="true" outlineLevel="0" collapsed="false">
      <c r="A8" s="11" t="s">
        <v>467</v>
      </c>
      <c r="B8" s="65" t="n">
        <v>149</v>
      </c>
      <c r="C8" s="6" t="s">
        <v>190</v>
      </c>
    </row>
    <row r="9" customFormat="false" ht="15" hidden="false" customHeight="true" outlineLevel="0" collapsed="false">
      <c r="A9" s="11" t="s">
        <v>468</v>
      </c>
      <c r="B9" s="66" t="n">
        <v>0.1</v>
      </c>
    </row>
    <row r="10" customFormat="false" ht="15" hidden="false" customHeight="true" outlineLevel="0" collapsed="false">
      <c r="A10" s="11" t="s">
        <v>469</v>
      </c>
      <c r="B10" s="30" t="n">
        <f aca="false">B8/(1+B9)</f>
        <v>135.454545454545</v>
      </c>
    </row>
    <row r="11" customFormat="false" ht="15" hidden="false" customHeight="true" outlineLevel="0" collapsed="false">
      <c r="A11" s="11" t="s">
        <v>470</v>
      </c>
      <c r="B11" s="67" t="n">
        <v>0.2</v>
      </c>
    </row>
    <row r="12" customFormat="false" ht="15" hidden="false" customHeight="true" outlineLevel="0" collapsed="false">
      <c r="A12" s="11" t="s">
        <v>471</v>
      </c>
      <c r="B12" s="30" t="n">
        <f aca="false">B10*(1-B11)</f>
        <v>108.363636363636</v>
      </c>
    </row>
    <row r="13" customFormat="false" ht="15" hidden="false" customHeight="true" outlineLevel="0" collapsed="false">
      <c r="A13" s="11" t="s">
        <v>472</v>
      </c>
      <c r="B13" s="66" t="n">
        <v>0.2</v>
      </c>
    </row>
    <row r="14" customFormat="false" ht="15" hidden="false" customHeight="true" outlineLevel="0" collapsed="false">
      <c r="A14" s="11" t="s">
        <v>473</v>
      </c>
      <c r="B14" s="68" t="n">
        <v>60</v>
      </c>
    </row>
    <row r="15" customFormat="false" ht="15" hidden="false" customHeight="true" outlineLevel="0" collapsed="false">
      <c r="A15" s="11" t="s">
        <v>474</v>
      </c>
      <c r="B15" s="65" t="n">
        <v>12</v>
      </c>
      <c r="C15" s="6" t="s">
        <v>190</v>
      </c>
    </row>
    <row r="16" customFormat="false" ht="15" hidden="false" customHeight="true" outlineLevel="0" collapsed="false">
      <c r="A16" s="11" t="s">
        <v>475</v>
      </c>
      <c r="B16" s="30" t="n">
        <f aca="false">B15/(1+B9)</f>
        <v>10.9090909090909</v>
      </c>
    </row>
    <row r="17" customFormat="false" ht="15" hidden="false" customHeight="true" outlineLevel="0" collapsed="false">
      <c r="A17" s="11" t="s">
        <v>476</v>
      </c>
      <c r="B17" s="69" t="n">
        <v>3.5</v>
      </c>
      <c r="C17" s="6" t="s">
        <v>190</v>
      </c>
    </row>
    <row r="18" customFormat="false" ht="15" hidden="false" customHeight="true" outlineLevel="0" collapsed="false">
      <c r="A18" s="7" t="s">
        <v>477</v>
      </c>
      <c r="B18" s="8"/>
      <c r="C18" s="8"/>
      <c r="D18" s="8"/>
      <c r="E18" s="8"/>
      <c r="F18" s="8"/>
      <c r="G18" s="8"/>
      <c r="H18" s="8"/>
    </row>
    <row r="19" customFormat="false" ht="48" hidden="false" customHeight="true" outlineLevel="0" collapsed="false">
      <c r="A19" s="11" t="s">
        <v>478</v>
      </c>
      <c r="B19" s="69" t="n">
        <v>40</v>
      </c>
      <c r="C19" s="6" t="s">
        <v>190</v>
      </c>
      <c r="H19" s="47" t="s">
        <v>479</v>
      </c>
    </row>
    <row r="20" customFormat="false" ht="15" hidden="false" customHeight="true" outlineLevel="0" collapsed="false">
      <c r="B20" s="4" t="s">
        <v>480</v>
      </c>
      <c r="C20" s="4" t="s">
        <v>481</v>
      </c>
      <c r="D20" s="4" t="s">
        <v>482</v>
      </c>
      <c r="E20" s="4" t="s">
        <v>483</v>
      </c>
      <c r="F20" s="4" t="s">
        <v>484</v>
      </c>
    </row>
    <row r="21" customFormat="false" ht="15" hidden="false" customHeight="true" outlineLevel="0" collapsed="false">
      <c r="A21" s="11" t="s">
        <v>399</v>
      </c>
      <c r="B21" s="69" t="n">
        <v>13</v>
      </c>
      <c r="C21" s="69" t="n">
        <v>11.5</v>
      </c>
      <c r="D21" s="69" t="n">
        <v>10.5</v>
      </c>
      <c r="E21" s="69" t="n">
        <v>10.5</v>
      </c>
      <c r="F21" s="69" t="n">
        <v>10.5</v>
      </c>
    </row>
    <row r="22" customFormat="false" ht="15" hidden="false" customHeight="true" outlineLevel="0" collapsed="false">
      <c r="A22" s="11" t="s">
        <v>194</v>
      </c>
      <c r="B22" s="69" t="n">
        <v>1.6</v>
      </c>
      <c r="C22" s="6" t="s">
        <v>190</v>
      </c>
    </row>
    <row r="23" customFormat="false" ht="15" hidden="false" customHeight="true" outlineLevel="0" collapsed="false">
      <c r="A23" s="11" t="s">
        <v>485</v>
      </c>
      <c r="B23" s="66" t="n">
        <v>0.35</v>
      </c>
      <c r="C23" s="66" t="n">
        <v>0.3</v>
      </c>
      <c r="D23" s="66" t="n">
        <v>0.25</v>
      </c>
      <c r="E23" s="66" t="n">
        <v>0.22</v>
      </c>
      <c r="F23" s="66" t="n">
        <v>0.2</v>
      </c>
    </row>
    <row r="24" customFormat="false" ht="15" hidden="false" customHeight="true" outlineLevel="0" collapsed="false">
      <c r="A24" s="11" t="s">
        <v>486</v>
      </c>
      <c r="B24" s="68" t="n">
        <v>120000</v>
      </c>
      <c r="C24" s="68" t="n">
        <v>300000</v>
      </c>
      <c r="D24" s="68" t="n">
        <v>500000</v>
      </c>
      <c r="E24" s="68" t="n">
        <v>800000</v>
      </c>
      <c r="F24" s="68" t="n">
        <v>1100000</v>
      </c>
    </row>
    <row r="25" customFormat="false" ht="15" hidden="false" customHeight="true" outlineLevel="0" collapsed="false">
      <c r="A25" s="11" t="s">
        <v>487</v>
      </c>
      <c r="B25" s="68" t="n">
        <v>80000</v>
      </c>
      <c r="C25" s="68" t="n">
        <v>150000</v>
      </c>
      <c r="D25" s="68" t="n">
        <v>200000</v>
      </c>
      <c r="E25" s="68" t="n">
        <v>300000</v>
      </c>
      <c r="F25" s="68" t="n">
        <v>400000</v>
      </c>
    </row>
    <row r="26" customFormat="false" ht="15" hidden="false" customHeight="true" outlineLevel="0" collapsed="false">
      <c r="A26" s="11" t="s">
        <v>77</v>
      </c>
      <c r="B26" s="68" t="n">
        <v>92000</v>
      </c>
      <c r="C26" s="68" t="n">
        <v>185000</v>
      </c>
      <c r="D26" s="68" t="n">
        <v>315000</v>
      </c>
      <c r="E26" s="68" t="n">
        <v>470000</v>
      </c>
      <c r="F26" s="68" t="n">
        <v>650000</v>
      </c>
    </row>
    <row r="27" customFormat="false" ht="15" hidden="false" customHeight="true" outlineLevel="0" collapsed="false">
      <c r="A27" s="11" t="s">
        <v>78</v>
      </c>
      <c r="B27" s="68" t="n">
        <v>20000</v>
      </c>
      <c r="C27" s="68" t="n">
        <v>50000</v>
      </c>
      <c r="D27" s="68" t="n">
        <v>80000</v>
      </c>
      <c r="E27" s="68" t="n">
        <v>120000</v>
      </c>
      <c r="F27" s="68" t="n">
        <v>170000</v>
      </c>
    </row>
    <row r="29" customFormat="false" ht="15" hidden="false" customHeight="true" outlineLevel="0" collapsed="false">
      <c r="A29" s="7" t="s">
        <v>488</v>
      </c>
      <c r="B29" s="8"/>
      <c r="C29" s="8"/>
      <c r="D29" s="8"/>
      <c r="E29" s="8"/>
      <c r="F29" s="8"/>
      <c r="G29" s="8"/>
      <c r="H29" s="8"/>
    </row>
    <row r="30" customFormat="false" ht="15" hidden="false" customHeight="true" outlineLevel="0" collapsed="false">
      <c r="B30" s="4" t="s">
        <v>489</v>
      </c>
      <c r="C30" s="4" t="s">
        <v>480</v>
      </c>
      <c r="D30" s="4" t="s">
        <v>481</v>
      </c>
      <c r="E30" s="4" t="s">
        <v>482</v>
      </c>
      <c r="F30" s="4" t="s">
        <v>483</v>
      </c>
      <c r="G30" s="4" t="s">
        <v>484</v>
      </c>
    </row>
    <row r="31" customFormat="false" ht="15" hidden="false" customHeight="true" outlineLevel="0" collapsed="false">
      <c r="A31" s="11" t="s">
        <v>148</v>
      </c>
      <c r="B31" s="68" t="n">
        <v>5</v>
      </c>
      <c r="C31" s="68" t="n">
        <v>10</v>
      </c>
      <c r="D31" s="68" t="n">
        <v>22</v>
      </c>
      <c r="E31" s="68" t="n">
        <v>32</v>
      </c>
      <c r="F31" s="68" t="n">
        <v>40</v>
      </c>
      <c r="G31" s="68" t="n">
        <v>48</v>
      </c>
    </row>
    <row r="32" customFormat="false" ht="15" hidden="false" customHeight="true" outlineLevel="0" collapsed="false">
      <c r="A32" s="11" t="s">
        <v>149</v>
      </c>
      <c r="B32" s="68" t="n">
        <v>0</v>
      </c>
      <c r="C32" s="68" t="n">
        <v>15</v>
      </c>
      <c r="D32" s="68" t="n">
        <v>40</v>
      </c>
      <c r="E32" s="68" t="n">
        <v>75</v>
      </c>
      <c r="F32" s="68" t="n">
        <v>110</v>
      </c>
      <c r="G32" s="68" t="n">
        <v>150</v>
      </c>
    </row>
    <row r="33" customFormat="false" ht="15" hidden="false" customHeight="true" outlineLevel="0" collapsed="false">
      <c r="A33" s="11" t="s">
        <v>150</v>
      </c>
      <c r="B33" s="68" t="n">
        <v>15</v>
      </c>
      <c r="C33" s="68" t="n">
        <v>40</v>
      </c>
      <c r="D33" s="68" t="n">
        <v>90</v>
      </c>
      <c r="E33" s="68" t="n">
        <v>150</v>
      </c>
      <c r="F33" s="68" t="n">
        <v>210</v>
      </c>
      <c r="G33" s="68" t="n">
        <v>270</v>
      </c>
    </row>
    <row r="34" customFormat="false" ht="15" hidden="false" customHeight="true" outlineLevel="0" collapsed="false">
      <c r="A34" s="11" t="s">
        <v>490</v>
      </c>
      <c r="B34" s="70" t="n">
        <v>24</v>
      </c>
    </row>
    <row r="35" customFormat="false" ht="15" hidden="false" customHeight="true" outlineLevel="0" collapsed="false">
      <c r="A35" s="11" t="s">
        <v>491</v>
      </c>
      <c r="B35" s="70" t="n">
        <v>9</v>
      </c>
    </row>
    <row r="36" customFormat="false" ht="15" hidden="false" customHeight="true" outlineLevel="0" collapsed="false">
      <c r="A36" s="11" t="s">
        <v>492</v>
      </c>
      <c r="B36" s="66" t="n">
        <v>0.15</v>
      </c>
    </row>
    <row r="37" customFormat="false" ht="15" hidden="false" customHeight="true" outlineLevel="0" collapsed="false">
      <c r="A37" s="11" t="s">
        <v>493</v>
      </c>
      <c r="B37" s="66" t="n">
        <v>0.05</v>
      </c>
    </row>
    <row r="39" customFormat="false" ht="15" hidden="false" customHeight="true" outlineLevel="0" collapsed="false">
      <c r="A39" s="7" t="s">
        <v>494</v>
      </c>
      <c r="B39" s="8"/>
      <c r="C39" s="8"/>
      <c r="D39" s="8"/>
      <c r="E39" s="8"/>
      <c r="F39" s="8"/>
      <c r="G39" s="8"/>
      <c r="H39" s="8"/>
    </row>
    <row r="40" customFormat="false" ht="15" hidden="false" customHeight="true" outlineLevel="0" collapsed="false">
      <c r="A40" s="11" t="s">
        <v>495</v>
      </c>
      <c r="B40" s="66" t="n">
        <v>0.3</v>
      </c>
    </row>
    <row r="41" customFormat="false" ht="15" hidden="false" customHeight="true" outlineLevel="0" collapsed="false">
      <c r="A41" s="11" t="s">
        <v>496</v>
      </c>
      <c r="B41" s="66" t="n">
        <v>0.1</v>
      </c>
    </row>
    <row r="42" customFormat="false" ht="15" hidden="false" customHeight="true" outlineLevel="0" collapsed="false">
      <c r="A42" s="11" t="s">
        <v>497</v>
      </c>
      <c r="B42" s="67" t="n">
        <v>0.3</v>
      </c>
    </row>
    <row r="43" customFormat="false" ht="15" hidden="false" customHeight="true" outlineLevel="0" collapsed="false">
      <c r="A43" s="11" t="s">
        <v>498</v>
      </c>
      <c r="B43" s="66" t="n">
        <v>0.1</v>
      </c>
    </row>
    <row r="44" customFormat="false" ht="15" hidden="false" customHeight="true" outlineLevel="0" collapsed="false">
      <c r="A44" s="11" t="s">
        <v>499</v>
      </c>
      <c r="B44" s="67" t="n">
        <v>0.35</v>
      </c>
      <c r="C44" s="67" t="n">
        <v>0.4</v>
      </c>
      <c r="D44" s="67" t="n">
        <v>0.5</v>
      </c>
      <c r="E44" s="67" t="n">
        <v>0.5</v>
      </c>
      <c r="F44" s="67" t="n">
        <v>0.5</v>
      </c>
    </row>
    <row r="46" customFormat="false" ht="15" hidden="false" customHeight="true" outlineLevel="0" collapsed="false">
      <c r="A46" s="7" t="s">
        <v>500</v>
      </c>
      <c r="B46" s="8"/>
      <c r="C46" s="8"/>
      <c r="D46" s="8"/>
      <c r="E46" s="8"/>
      <c r="F46" s="8"/>
      <c r="G46" s="8"/>
      <c r="H46" s="8"/>
    </row>
    <row r="47" customFormat="false" ht="15" hidden="false" customHeight="true" outlineLevel="0" collapsed="false">
      <c r="A47" s="11" t="s">
        <v>501</v>
      </c>
      <c r="B47" s="68" t="n">
        <v>54000</v>
      </c>
    </row>
    <row r="48" customFormat="false" ht="15" hidden="false" customHeight="true" outlineLevel="0" collapsed="false">
      <c r="A48" s="11" t="s">
        <v>502</v>
      </c>
      <c r="B48" s="68" t="n">
        <v>72000</v>
      </c>
    </row>
    <row r="49" customFormat="false" ht="15" hidden="false" customHeight="true" outlineLevel="0" collapsed="false">
      <c r="A49" s="11" t="s">
        <v>503</v>
      </c>
      <c r="B49" s="68" t="n">
        <v>55000</v>
      </c>
    </row>
    <row r="50" customFormat="false" ht="15" hidden="false" customHeight="true" outlineLevel="0" collapsed="false">
      <c r="A50" s="11" t="s">
        <v>504</v>
      </c>
      <c r="B50" s="68" t="n">
        <v>85000</v>
      </c>
    </row>
    <row r="51" customFormat="false" ht="15" hidden="false" customHeight="true" outlineLevel="0" collapsed="false">
      <c r="A51" s="11" t="s">
        <v>401</v>
      </c>
      <c r="B51" s="68" t="n">
        <v>1</v>
      </c>
      <c r="C51" s="68" t="n">
        <v>2</v>
      </c>
      <c r="D51" s="68" t="n">
        <v>3</v>
      </c>
      <c r="E51" s="68" t="n">
        <v>4</v>
      </c>
      <c r="F51" s="68" t="n">
        <v>5</v>
      </c>
    </row>
    <row r="52" customFormat="false" ht="15" hidden="false" customHeight="true" outlineLevel="0" collapsed="false">
      <c r="A52" s="11" t="s">
        <v>505</v>
      </c>
      <c r="B52" s="68" t="n">
        <v>25</v>
      </c>
    </row>
    <row r="53" customFormat="false" ht="15" hidden="false" customHeight="true" outlineLevel="0" collapsed="false">
      <c r="A53" s="11" t="s">
        <v>506</v>
      </c>
      <c r="B53" s="68" t="n">
        <v>500</v>
      </c>
    </row>
    <row r="54" customFormat="false" ht="15" hidden="false" customHeight="true" outlineLevel="0" collapsed="false">
      <c r="A54" s="11" t="s">
        <v>507</v>
      </c>
      <c r="B54" s="68" t="n">
        <v>4000</v>
      </c>
    </row>
    <row r="55" customFormat="false" ht="15" hidden="false" customHeight="true" outlineLevel="0" collapsed="false">
      <c r="A55" s="11" t="s">
        <v>508</v>
      </c>
      <c r="B55" s="68" t="n">
        <v>3</v>
      </c>
    </row>
    <row r="56" customFormat="false" ht="15" hidden="false" customHeight="true" outlineLevel="0" collapsed="false">
      <c r="A56" s="11" t="s">
        <v>509</v>
      </c>
      <c r="B56" s="66" t="n">
        <v>0.015</v>
      </c>
    </row>
    <row r="57" customFormat="false" ht="15" hidden="false" customHeight="true" outlineLevel="0" collapsed="false">
      <c r="A57" s="11" t="s">
        <v>510</v>
      </c>
      <c r="B57" s="68" t="n">
        <v>2500</v>
      </c>
    </row>
    <row r="58" customFormat="false" ht="15" hidden="false" customHeight="true" outlineLevel="0" collapsed="false">
      <c r="A58" s="11" t="s">
        <v>511</v>
      </c>
      <c r="B58" s="68" t="n">
        <v>2</v>
      </c>
    </row>
    <row r="59" customFormat="false" ht="15" hidden="false" customHeight="true" outlineLevel="0" collapsed="false">
      <c r="A59" s="11" t="s">
        <v>512</v>
      </c>
      <c r="B59" s="68" t="n">
        <v>10000</v>
      </c>
    </row>
    <row r="61" customFormat="false" ht="15" hidden="false" customHeight="true" outlineLevel="0" collapsed="false">
      <c r="A61" s="7" t="s">
        <v>513</v>
      </c>
      <c r="B61" s="8"/>
      <c r="C61" s="8"/>
      <c r="D61" s="8"/>
      <c r="E61" s="8"/>
      <c r="F61" s="8"/>
      <c r="G61" s="8"/>
      <c r="H61" s="8"/>
    </row>
    <row r="62" customFormat="false" ht="15" hidden="false" customHeight="true" outlineLevel="0" collapsed="false">
      <c r="A62" s="11" t="s">
        <v>514</v>
      </c>
      <c r="B62" s="68" t="n">
        <v>1000000</v>
      </c>
    </row>
    <row r="63" customFormat="false" ht="15" hidden="false" customHeight="true" outlineLevel="0" collapsed="false">
      <c r="A63" s="11" t="s">
        <v>515</v>
      </c>
      <c r="B63" s="70" t="n">
        <v>700000</v>
      </c>
      <c r="H63" s="6" t="s">
        <v>516</v>
      </c>
    </row>
    <row r="64" customFormat="false" ht="15" hidden="false" customHeight="true" outlineLevel="0" collapsed="false">
      <c r="A64" s="11" t="s">
        <v>517</v>
      </c>
      <c r="B64" s="70" t="n">
        <v>12</v>
      </c>
    </row>
    <row r="65" customFormat="false" ht="15" hidden="false" customHeight="true" outlineLevel="0" collapsed="false">
      <c r="A65" s="11" t="s">
        <v>518</v>
      </c>
      <c r="B65" s="66" t="n">
        <v>0.75</v>
      </c>
    </row>
    <row r="66" customFormat="false" ht="15" hidden="false" customHeight="true" outlineLevel="0" collapsed="false">
      <c r="A66" s="11" t="s">
        <v>519</v>
      </c>
      <c r="B66" s="65" t="n">
        <v>2.5</v>
      </c>
    </row>
    <row r="67" customFormat="false" ht="15" hidden="false" customHeight="true" outlineLevel="0" collapsed="false">
      <c r="A67" s="11" t="s">
        <v>520</v>
      </c>
      <c r="B67" s="67" t="n">
        <v>0.3</v>
      </c>
    </row>
    <row r="68" customFormat="false" ht="15" hidden="false" customHeight="true" outlineLevel="0" collapsed="false">
      <c r="A68" s="11" t="s">
        <v>521</v>
      </c>
      <c r="B68" s="70" t="n">
        <v>1000</v>
      </c>
    </row>
    <row r="69" customFormat="false" ht="15" hidden="false" customHeight="true" outlineLevel="0" collapsed="false">
      <c r="A69" s="11" t="s">
        <v>522</v>
      </c>
      <c r="B69" s="70" t="n">
        <v>2</v>
      </c>
    </row>
    <row r="70" customFormat="false" ht="15" hidden="false" customHeight="true" outlineLevel="0" collapsed="false">
      <c r="A70" s="11" t="s">
        <v>523</v>
      </c>
      <c r="B70" s="66" t="n">
        <v>0.25</v>
      </c>
    </row>
    <row r="71" customFormat="false" ht="15" hidden="false" customHeight="true" outlineLevel="0" collapsed="false">
      <c r="A71" s="11" t="s">
        <v>524</v>
      </c>
      <c r="B71" s="66" t="n">
        <v>0.25</v>
      </c>
    </row>
    <row r="72" customFormat="false" ht="15" hidden="false" customHeight="true" outlineLevel="0" collapsed="false">
      <c r="A72" s="11" t="s">
        <v>525</v>
      </c>
      <c r="B72" s="66" t="n">
        <v>0.5</v>
      </c>
    </row>
    <row r="73" customFormat="false" ht="15" hidden="false" customHeight="true" outlineLevel="0" collapsed="false">
      <c r="A73" s="11" t="s">
        <v>526</v>
      </c>
      <c r="B73" s="70" t="n">
        <v>2000</v>
      </c>
    </row>
    <row r="74" customFormat="false" ht="15" hidden="false" customHeight="true" outlineLevel="0" collapsed="false">
      <c r="A74" s="11" t="s">
        <v>527</v>
      </c>
      <c r="B74" s="71" t="n">
        <f aca="false">B19</f>
        <v>40</v>
      </c>
      <c r="C74" s="6" t="s">
        <v>528</v>
      </c>
    </row>
    <row r="76" customFormat="false" ht="15" hidden="false" customHeight="true" outlineLevel="0" collapsed="false">
      <c r="A76" s="7" t="s">
        <v>529</v>
      </c>
      <c r="B76" s="8"/>
      <c r="C76" s="8"/>
      <c r="D76" s="8"/>
      <c r="E76" s="8"/>
      <c r="F76" s="8"/>
      <c r="G76" s="8"/>
      <c r="H76" s="8"/>
    </row>
    <row r="77" customFormat="false" ht="15" hidden="false" customHeight="true" outlineLevel="0" collapsed="false">
      <c r="B77" s="4" t="s">
        <v>480</v>
      </c>
      <c r="C77" s="4" t="s">
        <v>481</v>
      </c>
      <c r="D77" s="4" t="s">
        <v>482</v>
      </c>
      <c r="E77" s="4" t="s">
        <v>483</v>
      </c>
      <c r="F77" s="4" t="s">
        <v>484</v>
      </c>
    </row>
    <row r="78" customFormat="false" ht="15" hidden="false" customHeight="true" outlineLevel="0" collapsed="false">
      <c r="A78" s="4" t="s">
        <v>530</v>
      </c>
    </row>
    <row r="79" customFormat="false" ht="15" hidden="false" customHeight="true" outlineLevel="0" collapsed="false">
      <c r="A79" s="6" t="s">
        <v>531</v>
      </c>
      <c r="B79" s="66" t="n">
        <v>0.35</v>
      </c>
      <c r="C79" s="66" t="n">
        <v>0.35</v>
      </c>
      <c r="D79" s="66" t="n">
        <v>0.35</v>
      </c>
      <c r="E79" s="66" t="n">
        <v>0.35</v>
      </c>
      <c r="F79" s="66" t="n">
        <v>0.35</v>
      </c>
    </row>
    <row r="80" customFormat="false" ht="15" hidden="false" customHeight="true" outlineLevel="0" collapsed="false">
      <c r="A80" s="6" t="s">
        <v>532</v>
      </c>
      <c r="B80" s="66" t="n">
        <v>0.5</v>
      </c>
      <c r="C80" s="66" t="n">
        <v>0.5</v>
      </c>
      <c r="D80" s="66" t="n">
        <v>0.5</v>
      </c>
      <c r="E80" s="66" t="n">
        <v>0.5</v>
      </c>
      <c r="F80" s="66" t="n">
        <v>0.5</v>
      </c>
    </row>
    <row r="81" customFormat="false" ht="15" hidden="false" customHeight="true" outlineLevel="0" collapsed="false">
      <c r="A81" s="6" t="s">
        <v>533</v>
      </c>
      <c r="B81" s="66" t="n">
        <v>0.3</v>
      </c>
      <c r="C81" s="66" t="n">
        <v>0.3</v>
      </c>
      <c r="D81" s="66" t="n">
        <v>0.3</v>
      </c>
      <c r="E81" s="66" t="n">
        <v>0.3</v>
      </c>
      <c r="F81" s="66" t="n">
        <v>0.3</v>
      </c>
    </row>
    <row r="82" customFormat="false" ht="15" hidden="false" customHeight="true" outlineLevel="0" collapsed="false">
      <c r="A82" s="72" t="s">
        <v>534</v>
      </c>
      <c r="B82" s="73" t="n">
        <f aca="false">CHOOSE($B$5,B79,B80,B81)</f>
        <v>0.35</v>
      </c>
      <c r="C82" s="73" t="n">
        <f aca="false">CHOOSE($B$5,C79,C80,C81)</f>
        <v>0.35</v>
      </c>
      <c r="D82" s="73" t="n">
        <f aca="false">CHOOSE($B$5,D79,D80,D81)</f>
        <v>0.35</v>
      </c>
      <c r="E82" s="73" t="n">
        <f aca="false">CHOOSE($B$5,E79,E80,E81)</f>
        <v>0.35</v>
      </c>
      <c r="F82" s="73" t="n">
        <f aca="false">CHOOSE($B$5,F79,F80,F81)</f>
        <v>0.35</v>
      </c>
    </row>
    <row r="83" customFormat="false" ht="15" hidden="false" customHeight="true" outlineLevel="0" collapsed="false">
      <c r="A83" s="4" t="s">
        <v>535</v>
      </c>
    </row>
    <row r="84" customFormat="false" ht="15" hidden="false" customHeight="true" outlineLevel="0" collapsed="false">
      <c r="A84" s="6" t="s">
        <v>531</v>
      </c>
      <c r="B84" s="66" t="n">
        <v>0.12</v>
      </c>
      <c r="C84" s="66" t="n">
        <v>0.12</v>
      </c>
      <c r="D84" s="66" t="n">
        <v>0.12</v>
      </c>
      <c r="E84" s="66" t="n">
        <v>0.12</v>
      </c>
      <c r="F84" s="66" t="n">
        <v>0.12</v>
      </c>
    </row>
    <row r="85" customFormat="false" ht="15" hidden="false" customHeight="true" outlineLevel="0" collapsed="false">
      <c r="A85" s="6" t="s">
        <v>532</v>
      </c>
      <c r="B85" s="66" t="n">
        <v>0.12</v>
      </c>
      <c r="C85" s="66" t="n">
        <v>0.1</v>
      </c>
      <c r="D85" s="66" t="n">
        <v>0.09</v>
      </c>
      <c r="E85" s="66" t="n">
        <v>0.09</v>
      </c>
      <c r="F85" s="66" t="n">
        <v>0.09</v>
      </c>
    </row>
    <row r="86" customFormat="false" ht="15" hidden="false" customHeight="true" outlineLevel="0" collapsed="false">
      <c r="A86" s="6" t="s">
        <v>533</v>
      </c>
      <c r="B86" s="66" t="n">
        <v>0.15</v>
      </c>
      <c r="C86" s="66" t="n">
        <v>0.14</v>
      </c>
      <c r="D86" s="66" t="n">
        <v>0.13</v>
      </c>
      <c r="E86" s="66" t="n">
        <v>0.13</v>
      </c>
      <c r="F86" s="66" t="n">
        <v>0.13</v>
      </c>
    </row>
    <row r="87" customFormat="false" ht="15" hidden="false" customHeight="true" outlineLevel="0" collapsed="false">
      <c r="A87" s="72" t="s">
        <v>534</v>
      </c>
      <c r="B87" s="73" t="n">
        <f aca="false">CHOOSE($B$5,B84,B85,B86)</f>
        <v>0.12</v>
      </c>
      <c r="C87" s="73" t="n">
        <f aca="false">CHOOSE($B$5,C84,C85,C86)</f>
        <v>0.12</v>
      </c>
      <c r="D87" s="73" t="n">
        <f aca="false">CHOOSE($B$5,D84,D85,D86)</f>
        <v>0.12</v>
      </c>
      <c r="E87" s="73" t="n">
        <f aca="false">CHOOSE($B$5,E84,E85,E86)</f>
        <v>0.12</v>
      </c>
      <c r="F87" s="73" t="n">
        <f aca="false">CHOOSE($B$5,F84,F85,F86)</f>
        <v>0.12</v>
      </c>
    </row>
    <row r="88" customFormat="false" ht="15" hidden="false" customHeight="true" outlineLevel="0" collapsed="false">
      <c r="A88" s="4" t="s">
        <v>536</v>
      </c>
    </row>
    <row r="89" customFormat="false" ht="15" hidden="false" customHeight="true" outlineLevel="0" collapsed="false">
      <c r="A89" s="6" t="s">
        <v>531</v>
      </c>
      <c r="B89" s="68" t="n">
        <v>100</v>
      </c>
      <c r="C89" s="68" t="n">
        <v>100</v>
      </c>
      <c r="D89" s="68" t="n">
        <v>100</v>
      </c>
      <c r="E89" s="68" t="n">
        <v>100</v>
      </c>
      <c r="F89" s="68" t="n">
        <v>100</v>
      </c>
    </row>
    <row r="90" customFormat="false" ht="15" hidden="false" customHeight="true" outlineLevel="0" collapsed="false">
      <c r="A90" s="6" t="s">
        <v>532</v>
      </c>
      <c r="B90" s="68" t="n">
        <v>100</v>
      </c>
      <c r="C90" s="68" t="n">
        <v>100</v>
      </c>
      <c r="D90" s="68" t="n">
        <v>100</v>
      </c>
      <c r="E90" s="68" t="n">
        <v>100</v>
      </c>
      <c r="F90" s="68" t="n">
        <v>100</v>
      </c>
    </row>
    <row r="91" customFormat="false" ht="15" hidden="false" customHeight="true" outlineLevel="0" collapsed="false">
      <c r="A91" s="6" t="s">
        <v>533</v>
      </c>
      <c r="B91" s="68" t="n">
        <v>110</v>
      </c>
      <c r="C91" s="68" t="n">
        <v>140</v>
      </c>
      <c r="D91" s="68" t="n">
        <v>180</v>
      </c>
      <c r="E91" s="68" t="n">
        <v>180</v>
      </c>
      <c r="F91" s="68" t="n">
        <v>180</v>
      </c>
    </row>
    <row r="92" customFormat="false" ht="15" hidden="false" customHeight="true" outlineLevel="0" collapsed="false">
      <c r="A92" s="72" t="s">
        <v>534</v>
      </c>
      <c r="B92" s="74" t="n">
        <f aca="false">CHOOSE($B$5,B89,B90,B91)</f>
        <v>100</v>
      </c>
      <c r="C92" s="74" t="n">
        <f aca="false">CHOOSE($B$5,C89,C90,C91)</f>
        <v>100</v>
      </c>
      <c r="D92" s="74" t="n">
        <f aca="false">CHOOSE($B$5,D89,D90,D91)</f>
        <v>100</v>
      </c>
      <c r="E92" s="74" t="n">
        <f aca="false">CHOOSE($B$5,E89,E90,E91)</f>
        <v>100</v>
      </c>
      <c r="F92" s="74" t="n">
        <f aca="false">CHOOSE($B$5,F89,F90,F91)</f>
        <v>100</v>
      </c>
    </row>
    <row r="93" customFormat="false" ht="15" hidden="false" customHeight="true" outlineLevel="0" collapsed="false">
      <c r="A93" s="4" t="s">
        <v>537</v>
      </c>
    </row>
    <row r="94" customFormat="false" ht="15" hidden="false" customHeight="true" outlineLevel="0" collapsed="false">
      <c r="A94" s="6" t="s">
        <v>531</v>
      </c>
      <c r="B94" s="68" t="n">
        <v>8</v>
      </c>
      <c r="C94" s="68" t="n">
        <v>12</v>
      </c>
      <c r="D94" s="68" t="n">
        <v>18</v>
      </c>
      <c r="E94" s="68" t="n">
        <v>22</v>
      </c>
      <c r="F94" s="68" t="n">
        <v>26</v>
      </c>
    </row>
    <row r="95" customFormat="false" ht="15" hidden="false" customHeight="true" outlineLevel="0" collapsed="false">
      <c r="A95" s="6" t="s">
        <v>532</v>
      </c>
      <c r="B95" s="68" t="n">
        <v>14</v>
      </c>
      <c r="C95" s="68" t="n">
        <v>20</v>
      </c>
      <c r="D95" s="68" t="n">
        <v>30</v>
      </c>
      <c r="E95" s="68" t="n">
        <v>34</v>
      </c>
      <c r="F95" s="68" t="n">
        <v>38</v>
      </c>
    </row>
    <row r="96" customFormat="false" ht="15" hidden="false" customHeight="true" outlineLevel="0" collapsed="false">
      <c r="A96" s="6" t="s">
        <v>533</v>
      </c>
      <c r="B96" s="68" t="n">
        <v>6</v>
      </c>
      <c r="C96" s="68" t="n">
        <v>9</v>
      </c>
      <c r="D96" s="68" t="n">
        <v>13</v>
      </c>
      <c r="E96" s="68" t="n">
        <v>16</v>
      </c>
      <c r="F96" s="68" t="n">
        <v>19</v>
      </c>
    </row>
    <row r="97" customFormat="false" ht="15" hidden="false" customHeight="true" outlineLevel="0" collapsed="false">
      <c r="A97" s="72" t="s">
        <v>534</v>
      </c>
      <c r="B97" s="74" t="n">
        <f aca="false">CHOOSE($B$5,B94,B95,B96)</f>
        <v>8</v>
      </c>
      <c r="C97" s="74" t="n">
        <f aca="false">CHOOSE($B$5,C94,C95,C96)</f>
        <v>12</v>
      </c>
      <c r="D97" s="74" t="n">
        <f aca="false">CHOOSE($B$5,D94,D95,D96)</f>
        <v>18</v>
      </c>
      <c r="E97" s="74" t="n">
        <f aca="false">CHOOSE($B$5,E94,E95,E96)</f>
        <v>22</v>
      </c>
      <c r="F97" s="74" t="n">
        <f aca="false">CHOOSE($B$5,F94,F95,F96)</f>
        <v>26</v>
      </c>
    </row>
    <row r="98" customFormat="false" ht="15" hidden="false" customHeight="true" outlineLevel="0" collapsed="false">
      <c r="A98" s="4" t="s">
        <v>538</v>
      </c>
    </row>
    <row r="99" customFormat="false" ht="15" hidden="false" customHeight="true" outlineLevel="0" collapsed="false">
      <c r="A99" s="6" t="s">
        <v>531</v>
      </c>
      <c r="B99" s="68" t="n">
        <v>50</v>
      </c>
      <c r="C99" s="68" t="n">
        <v>50</v>
      </c>
      <c r="D99" s="68" t="n">
        <v>50</v>
      </c>
      <c r="E99" s="68" t="n">
        <v>50</v>
      </c>
      <c r="F99" s="68" t="n">
        <v>50</v>
      </c>
    </row>
    <row r="100" customFormat="false" ht="15" hidden="false" customHeight="true" outlineLevel="0" collapsed="false">
      <c r="A100" s="6" t="s">
        <v>532</v>
      </c>
      <c r="B100" s="68" t="n">
        <v>100</v>
      </c>
      <c r="C100" s="68" t="n">
        <v>100</v>
      </c>
      <c r="D100" s="68" t="n">
        <v>100</v>
      </c>
      <c r="E100" s="68" t="n">
        <v>100</v>
      </c>
      <c r="F100" s="68" t="n">
        <v>100</v>
      </c>
    </row>
    <row r="101" customFormat="false" ht="15" hidden="false" customHeight="true" outlineLevel="0" collapsed="false">
      <c r="A101" s="6" t="s">
        <v>533</v>
      </c>
      <c r="B101" s="68" t="n">
        <v>20</v>
      </c>
      <c r="C101" s="68" t="n">
        <v>20</v>
      </c>
      <c r="D101" s="68" t="n">
        <v>20</v>
      </c>
      <c r="E101" s="68" t="n">
        <v>20</v>
      </c>
      <c r="F101" s="68" t="n">
        <v>20</v>
      </c>
    </row>
    <row r="102" customFormat="false" ht="15" hidden="false" customHeight="true" outlineLevel="0" collapsed="false">
      <c r="A102" s="72" t="s">
        <v>534</v>
      </c>
      <c r="B102" s="74" t="n">
        <f aca="false">CHOOSE($B$5,B99,B100,B101)</f>
        <v>50</v>
      </c>
      <c r="C102" s="74" t="n">
        <f aca="false">CHOOSE($B$5,C99,C100,C101)</f>
        <v>50</v>
      </c>
      <c r="D102" s="74" t="n">
        <f aca="false">CHOOSE($B$5,D99,D100,D101)</f>
        <v>50</v>
      </c>
      <c r="E102" s="74" t="n">
        <f aca="false">CHOOSE($B$5,E99,E100,E101)</f>
        <v>50</v>
      </c>
      <c r="F102" s="74" t="n">
        <f aca="false">CHOOSE($B$5,F99,F100,F101)</f>
        <v>50</v>
      </c>
    </row>
    <row r="103" customFormat="false" ht="15" hidden="false" customHeight="true" outlineLevel="0" collapsed="false">
      <c r="A103" s="4" t="s">
        <v>539</v>
      </c>
    </row>
    <row r="104" customFormat="false" ht="15" hidden="false" customHeight="true" outlineLevel="0" collapsed="false">
      <c r="A104" s="6" t="s">
        <v>531</v>
      </c>
      <c r="B104" s="68" t="n">
        <v>5</v>
      </c>
      <c r="C104" s="68" t="n">
        <v>5</v>
      </c>
      <c r="D104" s="68" t="n">
        <v>5</v>
      </c>
      <c r="E104" s="68" t="n">
        <v>5</v>
      </c>
      <c r="F104" s="68" t="n">
        <v>5</v>
      </c>
    </row>
    <row r="105" customFormat="false" ht="15" hidden="false" customHeight="true" outlineLevel="0" collapsed="false">
      <c r="A105" s="6" t="s">
        <v>532</v>
      </c>
      <c r="B105" s="68" t="n">
        <v>10</v>
      </c>
      <c r="C105" s="68" t="n">
        <v>10</v>
      </c>
      <c r="D105" s="68" t="n">
        <v>10</v>
      </c>
      <c r="E105" s="68" t="n">
        <v>10</v>
      </c>
      <c r="F105" s="68" t="n">
        <v>10</v>
      </c>
    </row>
    <row r="106" customFormat="false" ht="15" hidden="false" customHeight="true" outlineLevel="0" collapsed="false">
      <c r="A106" s="6" t="s">
        <v>533</v>
      </c>
      <c r="B106" s="68" t="n">
        <v>2</v>
      </c>
      <c r="C106" s="68" t="n">
        <v>2</v>
      </c>
      <c r="D106" s="68" t="n">
        <v>2</v>
      </c>
      <c r="E106" s="68" t="n">
        <v>2</v>
      </c>
      <c r="F106" s="68" t="n">
        <v>2</v>
      </c>
    </row>
    <row r="107" customFormat="false" ht="15" hidden="false" customHeight="true" outlineLevel="0" collapsed="false">
      <c r="A107" s="72" t="s">
        <v>534</v>
      </c>
      <c r="B107" s="74" t="n">
        <f aca="false">CHOOSE($B$5,B104,B105,B106)</f>
        <v>5</v>
      </c>
      <c r="C107" s="74" t="n">
        <f aca="false">CHOOSE($B$5,C104,C105,C106)</f>
        <v>5</v>
      </c>
      <c r="D107" s="74" t="n">
        <f aca="false">CHOOSE($B$5,D104,D105,D106)</f>
        <v>5</v>
      </c>
      <c r="E107" s="74" t="n">
        <f aca="false">CHOOSE($B$5,E104,E105,E106)</f>
        <v>5</v>
      </c>
      <c r="F107" s="74" t="n">
        <f aca="false">CHOOSE($B$5,F104,F105,F106)</f>
        <v>5</v>
      </c>
    </row>
    <row r="108" customFormat="false" ht="15" hidden="false" customHeight="true" outlineLevel="0" collapsed="false">
      <c r="A108" s="4" t="s">
        <v>540</v>
      </c>
    </row>
    <row r="109" customFormat="false" ht="15" hidden="false" customHeight="true" outlineLevel="0" collapsed="false">
      <c r="A109" s="6" t="s">
        <v>531</v>
      </c>
      <c r="B109" s="65" t="n">
        <v>1</v>
      </c>
      <c r="C109" s="65" t="n">
        <v>1</v>
      </c>
      <c r="D109" s="65" t="n">
        <v>1</v>
      </c>
      <c r="E109" s="65" t="n">
        <v>1</v>
      </c>
      <c r="F109" s="65" t="n">
        <v>1</v>
      </c>
    </row>
    <row r="110" customFormat="false" ht="15" hidden="false" customHeight="true" outlineLevel="0" collapsed="false">
      <c r="A110" s="6" t="s">
        <v>532</v>
      </c>
      <c r="B110" s="65" t="n">
        <v>1</v>
      </c>
      <c r="C110" s="65" t="n">
        <v>1</v>
      </c>
      <c r="D110" s="65" t="n">
        <v>1</v>
      </c>
      <c r="E110" s="65" t="n">
        <v>1</v>
      </c>
      <c r="F110" s="65" t="n">
        <v>1</v>
      </c>
    </row>
    <row r="111" customFormat="false" ht="15" hidden="false" customHeight="true" outlineLevel="0" collapsed="false">
      <c r="A111" s="6" t="s">
        <v>533</v>
      </c>
      <c r="B111" s="65" t="n">
        <v>0.6</v>
      </c>
      <c r="C111" s="65" t="n">
        <v>0.6</v>
      </c>
      <c r="D111" s="65" t="n">
        <v>0.6</v>
      </c>
      <c r="E111" s="65" t="n">
        <v>0.6</v>
      </c>
      <c r="F111" s="65" t="n">
        <v>0.6</v>
      </c>
    </row>
    <row r="112" customFormat="false" ht="15" hidden="false" customHeight="true" outlineLevel="0" collapsed="false">
      <c r="A112" s="72" t="s">
        <v>534</v>
      </c>
      <c r="B112" s="75" t="n">
        <f aca="false">CHOOSE($B$5,B109,B110,B111)</f>
        <v>1</v>
      </c>
      <c r="C112" s="75" t="n">
        <f aca="false">CHOOSE($B$5,C109,C110,C111)</f>
        <v>1</v>
      </c>
      <c r="D112" s="75" t="n">
        <f aca="false">CHOOSE($B$5,D109,D110,D111)</f>
        <v>1</v>
      </c>
      <c r="E112" s="75" t="n">
        <f aca="false">CHOOSE($B$5,E109,E110,E111)</f>
        <v>1</v>
      </c>
      <c r="F112" s="75" t="n">
        <f aca="false">CHOOSE($B$5,F109,F110,F111)</f>
        <v>1</v>
      </c>
    </row>
    <row r="113" customFormat="false" ht="15" hidden="false" customHeight="true" outlineLevel="0" collapsed="false">
      <c r="A113" s="4" t="s">
        <v>541</v>
      </c>
    </row>
    <row r="114" customFormat="false" ht="15" hidden="false" customHeight="true" outlineLevel="0" collapsed="false">
      <c r="A114" s="6" t="s">
        <v>531</v>
      </c>
      <c r="B114" s="66" t="n">
        <v>0.12</v>
      </c>
      <c r="C114" s="66" t="n">
        <v>0.12</v>
      </c>
      <c r="D114" s="66" t="n">
        <v>0.12</v>
      </c>
      <c r="E114" s="66" t="n">
        <v>0.12</v>
      </c>
      <c r="F114" s="66" t="n">
        <v>0.12</v>
      </c>
    </row>
    <row r="115" customFormat="false" ht="15" hidden="false" customHeight="true" outlineLevel="0" collapsed="false">
      <c r="A115" s="6" t="s">
        <v>532</v>
      </c>
      <c r="B115" s="66" t="n">
        <v>0.12</v>
      </c>
      <c r="C115" s="66" t="n">
        <v>0.12</v>
      </c>
      <c r="D115" s="66" t="n">
        <v>0.12</v>
      </c>
      <c r="E115" s="66" t="n">
        <v>0.12</v>
      </c>
      <c r="F115" s="66" t="n">
        <v>0.12</v>
      </c>
    </row>
    <row r="116" customFormat="false" ht="15" hidden="false" customHeight="true" outlineLevel="0" collapsed="false">
      <c r="A116" s="6" t="s">
        <v>533</v>
      </c>
      <c r="B116" s="66" t="n">
        <v>0.08</v>
      </c>
      <c r="C116" s="66" t="n">
        <v>0.08</v>
      </c>
      <c r="D116" s="66" t="n">
        <v>0.08</v>
      </c>
      <c r="E116" s="66" t="n">
        <v>0.08</v>
      </c>
      <c r="F116" s="66" t="n">
        <v>0.08</v>
      </c>
    </row>
    <row r="117" customFormat="false" ht="15" hidden="false" customHeight="true" outlineLevel="0" collapsed="false">
      <c r="A117" s="72" t="s">
        <v>534</v>
      </c>
      <c r="B117" s="73" t="n">
        <f aca="false">CHOOSE($B$5,B114,B115,B116)</f>
        <v>0.12</v>
      </c>
      <c r="C117" s="73" t="n">
        <f aca="false">CHOOSE($B$5,C114,C115,C116)</f>
        <v>0.12</v>
      </c>
      <c r="D117" s="73" t="n">
        <f aca="false">CHOOSE($B$5,D114,D115,D116)</f>
        <v>0.12</v>
      </c>
      <c r="E117" s="73" t="n">
        <f aca="false">CHOOSE($B$5,E114,E115,E116)</f>
        <v>0.12</v>
      </c>
      <c r="F117" s="73" t="n">
        <f aca="false">CHOOSE($B$5,F114,F115,F116)</f>
        <v>0.12</v>
      </c>
    </row>
    <row r="118" customFormat="false" ht="15" hidden="false" customHeight="true" outlineLevel="0" collapsed="false">
      <c r="A118" s="11" t="s">
        <v>542</v>
      </c>
      <c r="B118" s="66" t="n">
        <v>0.025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2026-08-12T05:57:50Z</dcterms:created>
  <dc:creator>openpyxl</dc:creator>
  <dc:description/>
  <dc:language>en-US</dc:language>
  <cp:lastModifiedBy/>
  <dcterms:modified xsi:type="dcterms:W3CDTF">2026-09-09T20:53:54Z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